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codeName="ThisWorkbook" autoCompressPictures="0"/>
  <mc:AlternateContent xmlns:mc="http://schemas.openxmlformats.org/markup-compatibility/2006">
    <mc:Choice Requires="x15">
      <x15ac:absPath xmlns:x15ac="http://schemas.microsoft.com/office/spreadsheetml/2010/11/ac" url="/Users/lgreiner/Desktop/"/>
    </mc:Choice>
  </mc:AlternateContent>
  <xr:revisionPtr revIDLastSave="0" documentId="8_{013E8324-F3C6-8C45-AFC5-DB28104C943A}" xr6:coauthVersionLast="36" xr6:coauthVersionMax="36" xr10:uidLastSave="{00000000-0000-0000-0000-000000000000}"/>
  <bookViews>
    <workbookView xWindow="0" yWindow="460" windowWidth="29460" windowHeight="22440" xr2:uid="{00000000-000D-0000-FFFF-FFFF00000000}"/>
  </bookViews>
  <sheets>
    <sheet name="Instructions" sheetId="1" r:id="rId1"/>
    <sheet name="Cool-Season Lawns (Fertilizer)" sheetId="3" r:id="rId2"/>
    <sheet name="Warm-Season Lawns (Fertilizer)" sheetId="4" r:id="rId3"/>
    <sheet name="Lime" sheetId="5" r:id="rId4"/>
  </sheets>
  <definedNames>
    <definedName name="Z_D920D7F4_8119_6443_BB94_D0BB6CD1A76A_.wvu.Cols" localSheetId="1" hidden="1">'Cool-Season Lawns (Fertilizer)'!$K:$P</definedName>
    <definedName name="Z_D920D7F4_8119_6443_BB94_D0BB6CD1A76A_.wvu.Cols" localSheetId="3" hidden="1">Lime!$K:$T,Lime!$AE:$AI</definedName>
    <definedName name="Z_D920D7F4_8119_6443_BB94_D0BB6CD1A76A_.wvu.Cols" localSheetId="2" hidden="1">'Warm-Season Lawns (Fertilizer)'!$K:$Q</definedName>
  </definedNames>
  <calcPr calcId="162913" concurrentCalc="0"/>
  <customWorkbookViews>
    <customWorkbookView name="Bobbi A. Hoffman - Personal View" guid="{D920D7F4-8119-6443-BB94-D0BB6CD1A76A}" mergeInterval="0" personalView="1" xWindow="74" yWindow="86" windowWidth="1504" windowHeight="859" activeSheetId="1"/>
  </customWorkbookView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9" i="4" l="1"/>
  <c r="E18" i="4" a="1"/>
  <c r="E18" i="4"/>
  <c r="D18" i="4" a="1"/>
  <c r="D18" i="4"/>
  <c r="M10" i="4"/>
  <c r="I3" i="4"/>
  <c r="K5" i="4"/>
  <c r="L10" i="4"/>
  <c r="M5" i="4"/>
  <c r="M16" i="4"/>
  <c r="M17" i="4"/>
  <c r="L13" i="4"/>
  <c r="C18" i="4"/>
  <c r="I3" i="3"/>
  <c r="K5" i="3"/>
  <c r="L10" i="3"/>
  <c r="M5" i="3"/>
  <c r="L16" i="3"/>
  <c r="K3" i="3"/>
  <c r="M6" i="3"/>
  <c r="I9" i="3"/>
  <c r="I12" i="3"/>
  <c r="H23" i="3"/>
  <c r="E18" i="3" a="1"/>
  <c r="E18" i="3"/>
  <c r="D18" i="3" a="1"/>
  <c r="D18" i="3"/>
  <c r="L13" i="3"/>
  <c r="M10" i="3"/>
  <c r="M16" i="3"/>
  <c r="M17" i="3"/>
  <c r="C18" i="3"/>
  <c r="M4" i="5"/>
  <c r="N3" i="5"/>
  <c r="K3" i="5"/>
  <c r="L3" i="5"/>
  <c r="AI2" i="5" a="1"/>
  <c r="AI2" i="5"/>
  <c r="O3" i="5"/>
  <c r="P3" i="5"/>
  <c r="P4" i="5"/>
  <c r="I3" i="5"/>
  <c r="I9" i="5"/>
  <c r="I12" i="5"/>
  <c r="I15" i="5"/>
  <c r="I6" i="5"/>
  <c r="N4" i="5"/>
  <c r="E3" i="5"/>
  <c r="I6" i="4"/>
  <c r="K3" i="4"/>
  <c r="L16" i="4"/>
  <c r="M6" i="4"/>
  <c r="I9" i="4"/>
  <c r="I12" i="4"/>
  <c r="I15" i="4"/>
  <c r="I15" i="3"/>
  <c r="D6" i="4"/>
  <c r="M13" i="4"/>
  <c r="D12" i="4"/>
  <c r="N10" i="4"/>
  <c r="N16" i="4"/>
  <c r="N17" i="4"/>
  <c r="L17" i="4"/>
  <c r="H23" i="4"/>
  <c r="I23" i="4"/>
  <c r="M13" i="3"/>
  <c r="N10" i="3"/>
  <c r="D12" i="3"/>
  <c r="D9" i="3"/>
  <c r="D6" i="3"/>
  <c r="I6" i="3"/>
  <c r="N16" i="3"/>
  <c r="N17" i="3"/>
  <c r="L17" i="3"/>
  <c r="I23" i="3"/>
</calcChain>
</file>

<file path=xl/sharedStrings.xml><?xml version="1.0" encoding="utf-8"?>
<sst xmlns="http://schemas.openxmlformats.org/spreadsheetml/2006/main" count="296" uniqueCount="123">
  <si>
    <t>What is the size of your lawn in square feet?</t>
  </si>
  <si>
    <t>What is the fertility rating for P from your Virginia Cooperative Extension Soil Test Report?</t>
  </si>
  <si>
    <t>Enter L-, L, L+, M-, M, M+, H-, H, H+, or VH</t>
  </si>
  <si>
    <t>What is the fertility rating for K from your Virginia Cooperative Extension Soil Test Report?</t>
  </si>
  <si>
    <t>L-</t>
  </si>
  <si>
    <t>L</t>
  </si>
  <si>
    <t>L+</t>
  </si>
  <si>
    <t>M-</t>
  </si>
  <si>
    <t>M</t>
  </si>
  <si>
    <t>M+</t>
  </si>
  <si>
    <t>H-</t>
  </si>
  <si>
    <t>H</t>
  </si>
  <si>
    <t>H+</t>
  </si>
  <si>
    <t>VH</t>
  </si>
  <si>
    <t>Use a Fertilizer With Potassium (K)</t>
  </si>
  <si>
    <t>Potassium (K) is not needed, but may be used</t>
  </si>
  <si>
    <t>Use a Fertilizer With Phosphorus (P)</t>
  </si>
  <si>
    <t>Phosphorus (P) is not needed, but may be used</t>
  </si>
  <si>
    <t xml:space="preserve">Use a Zero Phosphorus (P) Fertilizer </t>
  </si>
  <si>
    <t>RECOMMENDATIONS</t>
  </si>
  <si>
    <t>Number of fertilizer applications needed per year</t>
  </si>
  <si>
    <t>Timing of fertilizer applications</t>
  </si>
  <si>
    <t>Make one application in the fall (Sept-Nov)</t>
  </si>
  <si>
    <t>Make two applications in the fall, at least 30 days apart (Sept-Nov)</t>
  </si>
  <si>
    <t>Make three applications in the fall, at least 30 days apart (Sept-Nov)</t>
  </si>
  <si>
    <t>Amount of N</t>
  </si>
  <si>
    <t>N</t>
  </si>
  <si>
    <t>P</t>
  </si>
  <si>
    <t>K</t>
  </si>
  <si>
    <t xml:space="preserve">1K Sq. Ft. </t>
  </si>
  <si>
    <t>Percent</t>
  </si>
  <si>
    <t>Rate</t>
  </si>
  <si>
    <t>Need</t>
  </si>
  <si>
    <t>Amt. Per App</t>
  </si>
  <si>
    <t>Total Applied</t>
  </si>
  <si>
    <t>What is the size of the fertilizer bag?</t>
  </si>
  <si>
    <t>FERTILIZER CALCULATOR FOR COOL-SEASON LAWNS</t>
  </si>
  <si>
    <t>Pounds Leftover</t>
  </si>
  <si>
    <t>Pounds Needed</t>
  </si>
  <si>
    <t xml:space="preserve">Leftover fertilizer from last year? </t>
  </si>
  <si>
    <t>New Bags Needed</t>
  </si>
  <si>
    <t>Enter Data</t>
  </si>
  <si>
    <t>total</t>
  </si>
  <si>
    <t>FERTILIZER CALCULATOR FOR WARM-SEASON LAWNS</t>
  </si>
  <si>
    <t>Make one application in the summer (May-July)</t>
  </si>
  <si>
    <t>Make two applications in the summer, at least 30 days apart (May and July)</t>
  </si>
  <si>
    <t>Make three applications in the summer, at least 30 days apart (May-July)</t>
  </si>
  <si>
    <t>Make four applications in the late spring to early summer at least 30 days apart (Apr-July)</t>
  </si>
  <si>
    <t>Make five applications from late spring to early fall, at least 30 days apart (Apr-Aug)</t>
  </si>
  <si>
    <t>What is the grade of the fertilizer you wish to use?</t>
  </si>
  <si>
    <t>Make three applications in the fall at least 30 days apart (Sept-Nov), and one in the spring (Mar-May)</t>
  </si>
  <si>
    <t>Make three applications in the fall at least 30 days apart (Sept-Nov), and two applications in the spring, at least 30 days apart (Mar-May)</t>
  </si>
  <si>
    <t>Make up to six applications Mar- early Sep, at least 30 days apart (turf must be green and not dormant).</t>
  </si>
  <si>
    <t>LIME CALCULATOR FOR LAWNS</t>
  </si>
  <si>
    <t>CCE</t>
  </si>
  <si>
    <t>t/ac</t>
  </si>
  <si>
    <t>REC</t>
  </si>
  <si>
    <t>LOOKUP</t>
  </si>
  <si>
    <t>NOTES</t>
  </si>
  <si>
    <t>Lime lb/M</t>
  </si>
  <si>
    <t>tons/A</t>
  </si>
  <si>
    <t>Adj T/A</t>
  </si>
  <si>
    <t>Adj lbs/M</t>
  </si>
  <si>
    <t>Lime Type</t>
  </si>
  <si>
    <t xml:space="preserve">Number of lime applications needed </t>
  </si>
  <si>
    <t>1000 sq ft</t>
  </si>
  <si>
    <t>Agricultural</t>
  </si>
  <si>
    <t>Dolomitic</t>
  </si>
  <si>
    <t>How much lime is recommended on your Virginia Cooperative Extension Soil Test Report?</t>
  </si>
  <si>
    <t>Timing of lime applications</t>
  </si>
  <si>
    <t>None Listed</t>
  </si>
  <si>
    <t>What is the type of lime recommended on your Virginia Cooperative Extension Soil Test Report?</t>
  </si>
  <si>
    <t>#apps</t>
  </si>
  <si>
    <t>Apply the full amount of lime at any time. For the best results, apply following lawn aeration or in the fall/winter when the ground is not frozen/ snow-covered. Avoid applications to water-saturated soils or to turf under heat/drought stress.</t>
  </si>
  <si>
    <t>Apply lime at any time, allowing at least 1 month between applications. For the best results, apply following lawn aeration or in the fall/winter when the ground is not frozen/snow-covered. Avoid applications to water-saturated soils or to turf under heat/drought stress.</t>
  </si>
  <si>
    <t>What is the size of the bag of lime?</t>
  </si>
  <si>
    <t>Notes</t>
  </si>
  <si>
    <r>
      <t xml:space="preserve">AgLime/Agricultural lime generally refers to </t>
    </r>
    <r>
      <rPr>
        <b/>
        <sz val="11"/>
        <color theme="1"/>
        <rFont val="Calibri"/>
        <family val="2"/>
        <scheme val="minor"/>
      </rPr>
      <t>calcitic</t>
    </r>
    <r>
      <rPr>
        <sz val="11"/>
        <color theme="1"/>
        <rFont val="Calibri"/>
        <family val="2"/>
        <scheme val="minor"/>
      </rPr>
      <t xml:space="preserve"> limestone. Pelletized lime is a good choice for lawns since it is easier to apply than powdered forms, although it is generally more expensive.  The Calcium Carbonate Equivalent (CCE) value should be considered when selecting lime products. The CCE of calcitic limestone is usually between 80-100%. As the CCE of a lime product decreases, the amount of product needed to make the proper pH adjustment increases. You may need to check the labels of available products for CCE before using this calculator to determine exactly how much to purchase. The CCE is listed under the Guaranteed Analysis section of the label. </t>
    </r>
  </si>
  <si>
    <r>
      <t xml:space="preserve">Dolomitic limestone contains </t>
    </r>
    <r>
      <rPr>
        <b/>
        <sz val="11"/>
        <color theme="1"/>
        <rFont val="Calibri"/>
        <family val="2"/>
        <scheme val="minor"/>
      </rPr>
      <t xml:space="preserve">magnesium </t>
    </r>
    <r>
      <rPr>
        <sz val="11"/>
        <color theme="1"/>
        <rFont val="Calibri"/>
        <family val="2"/>
        <scheme val="minor"/>
      </rPr>
      <t xml:space="preserve">(Mg) and is typically recommended when magnesium is low in the soil. Pelletized lime is a good choice for lawns since it is easier to apply than powdered forms, although it is generally more expensive. The Calcium Carbonate Equivalent (CCE) value should be considered when selecting lime products. The CCE value is often higher (95-108) than calcitic lime. As the CCE of a lime product decreases, the amount of product needed to make the proper pH adjustment increases. You may need to check the labels of available products for CCE before using this calculator to determine exactly how much to purchase. The CCE is listed under the Guaranteed Analysis section of the label. </t>
    </r>
  </si>
  <si>
    <t>l+</t>
  </si>
  <si>
    <t>l</t>
  </si>
  <si>
    <t>P rating</t>
  </si>
  <si>
    <t>amt</t>
  </si>
  <si>
    <t>message</t>
  </si>
  <si>
    <t>l-</t>
  </si>
  <si>
    <t>Fertilizer does not contain P. Choose a fertilizer with phosphorus.</t>
  </si>
  <si>
    <t>K rating</t>
  </si>
  <si>
    <t xml:space="preserve">Fertilizer does not contain K. Choose a fertilizer with potassium. </t>
  </si>
  <si>
    <t xml:space="preserve">Note: Once the full amount of lime is applied as described in the recommendations above, there is no need to apply additional lime for up to three years. Soil testing should be repeated to determine additional lime needs after three years. </t>
  </si>
  <si>
    <t xml:space="preserve">Note: The recommendations above can be repeated for up to three growing seasons. New soil testing is recommended after three years. </t>
  </si>
  <si>
    <t>There are three large numbers on the fertilizer bag representing  N-P-K. For example, a 25-5-10 fertilizer contains 25% nitrogen (N), 5% phosphorus as phosphate (P), and 10% potassium as potash (K). Enter the numbers as shown on the bag.</t>
  </si>
  <si>
    <t>These instructions are based on the number of applications needed and the optimal fertilization window for cool-season turfgrass.</t>
  </si>
  <si>
    <r>
      <t xml:space="preserve">Pounds of fertilizer needed to cover your lawn, </t>
    </r>
    <r>
      <rPr>
        <b/>
        <sz val="11"/>
        <color theme="1"/>
        <rFont val="Calibri"/>
        <family val="2"/>
        <scheme val="minor"/>
      </rPr>
      <t>per application</t>
    </r>
  </si>
  <si>
    <t>Add this amount to your spreader. You might need to split the application and fill the spreader more than once.</t>
  </si>
  <si>
    <r>
      <t xml:space="preserve">Pounds of fertilizer needed to cover your lawn for </t>
    </r>
    <r>
      <rPr>
        <b/>
        <sz val="11"/>
        <color theme="1"/>
        <rFont val="Calibri"/>
        <family val="2"/>
        <scheme val="minor"/>
      </rPr>
      <t>all applications</t>
    </r>
  </si>
  <si>
    <t>This is the total amount of fertilizer needed for the year.</t>
  </si>
  <si>
    <t>Number fertilizer bags needed for one year, based on the size of the fertilizer bag entered in question 6.</t>
  </si>
  <si>
    <r>
      <t xml:space="preserve">Pounds of fertilizer needed to cover your lawn </t>
    </r>
    <r>
      <rPr>
        <b/>
        <sz val="11"/>
        <color theme="1"/>
        <rFont val="Calibri"/>
        <family val="2"/>
        <scheme val="minor"/>
      </rPr>
      <t>per application</t>
    </r>
    <r>
      <rPr>
        <sz val="11"/>
        <color theme="1"/>
        <rFont val="Calibri"/>
        <family val="2"/>
        <scheme val="minor"/>
      </rPr>
      <t>.</t>
    </r>
  </si>
  <si>
    <r>
      <t>Pounds of fertilizer needed to cover your lawn for</t>
    </r>
    <r>
      <rPr>
        <b/>
        <sz val="11"/>
        <color theme="1"/>
        <rFont val="Calibri"/>
        <family val="2"/>
        <scheme val="minor"/>
      </rPr>
      <t xml:space="preserve"> all applications</t>
    </r>
  </si>
  <si>
    <r>
      <t>Total number of fertilizer bags needed for</t>
    </r>
    <r>
      <rPr>
        <b/>
        <sz val="11"/>
        <color theme="1"/>
        <rFont val="Calibri"/>
        <family val="2"/>
        <scheme val="minor"/>
      </rPr>
      <t xml:space="preserve"> all applications</t>
    </r>
  </si>
  <si>
    <r>
      <t xml:space="preserve">Only use this if the old fertilizer is the </t>
    </r>
    <r>
      <rPr>
        <b/>
        <sz val="10"/>
        <color theme="1"/>
        <rFont val="Calibri"/>
        <family val="2"/>
        <scheme val="minor"/>
      </rPr>
      <t>same grade</t>
    </r>
    <r>
      <rPr>
        <sz val="10"/>
        <color theme="1"/>
        <rFont val="Calibri"/>
        <family val="2"/>
        <scheme val="minor"/>
      </rPr>
      <t xml:space="preserve"> as the new fertilizer to be used. The New Bags Needed amount replaces the total number of fertilizer bags needed above.</t>
    </r>
  </si>
  <si>
    <r>
      <t>Only use this if the old fertilizer is the</t>
    </r>
    <r>
      <rPr>
        <b/>
        <sz val="10"/>
        <color theme="1"/>
        <rFont val="Calibri"/>
        <family val="2"/>
        <scheme val="minor"/>
      </rPr>
      <t xml:space="preserve"> same grade</t>
    </r>
    <r>
      <rPr>
        <sz val="10"/>
        <color theme="1"/>
        <rFont val="Calibri"/>
        <family val="2"/>
        <scheme val="minor"/>
      </rPr>
      <t xml:space="preserve"> as the new fertilizer to be used. The New Bags Needed amount replaces the total number of fertilizer bags needed above.</t>
    </r>
  </si>
  <si>
    <t>This should be listed as a percentage on the bag, usually under Guaranteed Analysis (50-150%).</t>
  </si>
  <si>
    <t>What is the calcium carbonate equivalent (CCE) number listed on the bag of lime?</t>
  </si>
  <si>
    <t xml:space="preserve">This is the type of lime listed under Lime Recommendations (agricultural, dolomitic). </t>
  </si>
  <si>
    <t xml:space="preserve">This number is in a note at the bottom of the soil test report under Lime Recommendations. It is reported in pounds per 1,000 square feet. </t>
  </si>
  <si>
    <t>These instructions are based on the number of applications needed and good practices to maximize benefits.</t>
  </si>
  <si>
    <r>
      <t>Pounds of lime needed to cover your lawn</t>
    </r>
    <r>
      <rPr>
        <b/>
        <sz val="11"/>
        <color theme="1"/>
        <rFont val="Calibri"/>
        <family val="2"/>
        <scheme val="minor"/>
      </rPr>
      <t xml:space="preserve"> per application</t>
    </r>
  </si>
  <si>
    <r>
      <t xml:space="preserve">Pounds of lime needed to cover your lawn for </t>
    </r>
    <r>
      <rPr>
        <b/>
        <sz val="11"/>
        <color theme="1"/>
        <rFont val="Calibri"/>
        <family val="2"/>
        <scheme val="minor"/>
      </rPr>
      <t>all applications</t>
    </r>
  </si>
  <si>
    <r>
      <t xml:space="preserve">Total number of lime bags needed for </t>
    </r>
    <r>
      <rPr>
        <b/>
        <sz val="11"/>
        <color theme="1"/>
        <rFont val="Calibri"/>
        <family val="2"/>
        <scheme val="minor"/>
      </rPr>
      <t>all applications</t>
    </r>
  </si>
  <si>
    <t>This is the total amount of lime needed for a three-year period.</t>
  </si>
  <si>
    <t>Number of lime bags needed for three years, based on the size of the lime bag entered in question 6.</t>
  </si>
  <si>
    <t>How many pounds of N do you want to spread annually (lbs. per 1,000 square feet)?</t>
  </si>
  <si>
    <r>
      <t xml:space="preserve">Enter the size of </t>
    </r>
    <r>
      <rPr>
        <b/>
        <sz val="10"/>
        <color theme="1"/>
        <rFont val="Calibri"/>
        <family val="2"/>
        <scheme val="minor"/>
      </rPr>
      <t>one</t>
    </r>
    <r>
      <rPr>
        <sz val="10"/>
        <color theme="1"/>
        <rFont val="Calibri"/>
        <family val="2"/>
        <scheme val="minor"/>
      </rPr>
      <t xml:space="preserve"> fertilizer bag from question 5 above, in pounds.</t>
    </r>
  </si>
  <si>
    <t>This number is based on the amount of N selected.</t>
  </si>
  <si>
    <t>Use the low side of the range for low-maintenance lawns and the high side of the range for high-maintenance lawns. 
Unknown warm-season: 2.0 lbs. 
Bermudagrass: 2.0-3.5 lbs.
Zoysiagrass: 1.0-2.0 lbs.
Centipedegrass: 1.0-2.0 lbs. 
St. Augustinegrass: 2.0-3.5 lbs.</t>
  </si>
  <si>
    <t>How many pounds of N do you want to spread (lbs. per 1,000 square feet)?</t>
  </si>
  <si>
    <r>
      <t>Enter the size of</t>
    </r>
    <r>
      <rPr>
        <b/>
        <sz val="10"/>
        <color theme="1"/>
        <rFont val="Calibri"/>
        <family val="2"/>
        <scheme val="minor"/>
      </rPr>
      <t xml:space="preserve"> one</t>
    </r>
    <r>
      <rPr>
        <sz val="10"/>
        <color theme="1"/>
        <rFont val="Calibri"/>
        <family val="2"/>
        <scheme val="minor"/>
      </rPr>
      <t xml:space="preserve"> fertilizer bag from question 5 above, in pounds.</t>
    </r>
  </si>
  <si>
    <t>Number of fertilizer bags needed for one year, based on the size of the fertilizer bag entered in question 6.</t>
  </si>
  <si>
    <r>
      <t xml:space="preserve">Enter the size of </t>
    </r>
    <r>
      <rPr>
        <b/>
        <sz val="10"/>
        <color theme="1"/>
        <rFont val="Calibri"/>
        <family val="2"/>
        <scheme val="minor"/>
      </rPr>
      <t>one</t>
    </r>
    <r>
      <rPr>
        <sz val="10"/>
        <color theme="1"/>
        <rFont val="Calibri"/>
        <family val="2"/>
        <scheme val="minor"/>
      </rPr>
      <t xml:space="preserve"> bag from question 4 above, in pounds.</t>
    </r>
  </si>
  <si>
    <t>This number is based on the Lime Recommendations and is the total number of applications that should be made in a three-year period before soils should be retested.</t>
  </si>
  <si>
    <t>Use the low side of the range for low-maintenance lawns and the high side of the range for high-maintenance lawns.                                 Unknown cool-season: 1.0-2.0 lbs.
Tall fescue: 1.0-3.5 lbs.
Kentucky bluegrass: 1.0-3.5 lbs.
Fine-leaf fescue: 0.7-2.0 lbs.
Perennial ryegrass: 1.0-3.5 lbs.</t>
  </si>
  <si>
    <r>
      <t xml:space="preserve">Total number of fertilizer bags needed for </t>
    </r>
    <r>
      <rPr>
        <b/>
        <sz val="11"/>
        <color theme="1"/>
        <rFont val="Calibri"/>
        <family val="2"/>
        <scheme val="minor"/>
      </rPr>
      <t>all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</si>
</sst>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color theme="0"/>
      <name val="Calibri"/>
      <family val="2"/>
      <scheme val="minor"/>
    </font>
    <font>
      <b/>
      <sz val="10"/>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CCCCFF"/>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2" tint="-9.9978637043366805E-2"/>
        <bgColor indexed="64"/>
      </patternFill>
    </fill>
  </fills>
  <borders count="40">
    <border>
      <left/>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bottom style="medium">
        <color auto="1"/>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s>
  <cellStyleXfs count="1">
    <xf numFmtId="0" fontId="0" fillId="0" borderId="0"/>
  </cellStyleXfs>
  <cellXfs count="125">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Border="1" applyAlignment="1">
      <alignment horizontal="center" vertical="center" wrapText="1"/>
    </xf>
    <xf numFmtId="0" fontId="0" fillId="3" borderId="8" xfId="0"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6" borderId="2" xfId="0" applyFill="1" applyBorder="1"/>
    <xf numFmtId="0" fontId="0" fillId="3" borderId="7" xfId="0" applyFill="1" applyBorder="1" applyAlignment="1">
      <alignment horizontal="center" vertical="center" wrapText="1"/>
    </xf>
    <xf numFmtId="0" fontId="2" fillId="0" borderId="13" xfId="0" applyFont="1" applyBorder="1" applyAlignment="1">
      <alignment horizontal="center" vertical="center" wrapText="1"/>
    </xf>
    <xf numFmtId="0" fontId="0" fillId="0" borderId="0" xfId="0" applyFill="1" applyBorder="1"/>
    <xf numFmtId="0" fontId="0" fillId="6" borderId="14" xfId="0" applyFill="1" applyBorder="1" applyAlignment="1">
      <alignment horizontal="center" vertical="center"/>
    </xf>
    <xf numFmtId="0" fontId="0" fillId="3" borderId="7" xfId="0" applyFill="1" applyBorder="1" applyAlignment="1">
      <alignment horizontal="center"/>
    </xf>
    <xf numFmtId="0" fontId="0" fillId="3" borderId="10" xfId="0"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xf>
    <xf numFmtId="0" fontId="0" fillId="0" borderId="0" xfId="0" applyFill="1" applyBorder="1" applyAlignment="1">
      <alignment horizontal="center" vertical="center"/>
    </xf>
    <xf numFmtId="0" fontId="0" fillId="6" borderId="3" xfId="0" applyFill="1" applyBorder="1" applyAlignment="1">
      <alignment horizontal="center" vertical="center"/>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Fill="1" applyBorder="1" applyAlignment="1">
      <alignment horizontal="center" vertical="center" wrapText="1"/>
    </xf>
    <xf numFmtId="0" fontId="0" fillId="3" borderId="21" xfId="0" applyFill="1" applyBorder="1" applyAlignment="1">
      <alignment horizontal="center" vertical="center" wrapText="1"/>
    </xf>
    <xf numFmtId="0" fontId="0" fillId="6" borderId="2" xfId="0" applyFill="1" applyBorder="1" applyAlignment="1">
      <alignment horizontal="center" vertical="center" wrapText="1"/>
    </xf>
    <xf numFmtId="0" fontId="0" fillId="6" borderId="22"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4" xfId="0"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3" fillId="2" borderId="9" xfId="0" applyFont="1" applyFill="1" applyBorder="1" applyAlignment="1" applyProtection="1">
      <alignment horizontal="center" vertical="center"/>
      <protection locked="0"/>
    </xf>
    <xf numFmtId="0" fontId="0" fillId="2" borderId="13" xfId="0"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protection locked="0"/>
    </xf>
    <xf numFmtId="0" fontId="0" fillId="0" borderId="0" xfId="0" applyAlignment="1" applyProtection="1">
      <alignment horizontal="center"/>
    </xf>
    <xf numFmtId="0" fontId="0" fillId="0" borderId="0" xfId="0" applyFill="1" applyAlignment="1" applyProtection="1">
      <alignment horizontal="left"/>
    </xf>
    <xf numFmtId="0" fontId="0" fillId="0" borderId="0" xfId="0" applyProtection="1"/>
    <xf numFmtId="0" fontId="1" fillId="0" borderId="0" xfId="0" applyFont="1" applyProtection="1"/>
    <xf numFmtId="0" fontId="1" fillId="0" borderId="0" xfId="0" applyFont="1" applyFill="1" applyAlignment="1" applyProtection="1">
      <alignment horizontal="left"/>
    </xf>
    <xf numFmtId="0" fontId="1" fillId="0" borderId="0" xfId="0" applyFont="1" applyAlignment="1" applyProtection="1">
      <alignment horizontal="center" vertical="center"/>
    </xf>
    <xf numFmtId="0" fontId="1" fillId="0" borderId="0" xfId="0" applyFont="1" applyAlignment="1" applyProtection="1">
      <alignment horizontal="center" wrapText="1"/>
    </xf>
    <xf numFmtId="0" fontId="1" fillId="0" borderId="0" xfId="0" applyFont="1" applyFill="1" applyAlignment="1" applyProtection="1">
      <alignment horizontal="center" wrapText="1"/>
    </xf>
    <xf numFmtId="164" fontId="0" fillId="0" borderId="0" xfId="0" applyNumberFormat="1" applyProtection="1"/>
    <xf numFmtId="0" fontId="1" fillId="0" borderId="0" xfId="0" applyFont="1" applyAlignment="1" applyProtection="1">
      <alignment horizontal="center"/>
    </xf>
    <xf numFmtId="0" fontId="0" fillId="3" borderId="28" xfId="0"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0" fillId="0" borderId="0" xfId="0" applyFill="1" applyProtection="1"/>
    <xf numFmtId="0" fontId="0" fillId="3" borderId="10" xfId="0" applyFill="1" applyBorder="1" applyAlignment="1" applyProtection="1">
      <alignment horizontal="center" vertical="center" wrapText="1"/>
    </xf>
    <xf numFmtId="0" fontId="0" fillId="0" borderId="0" xfId="0" applyFill="1" applyBorder="1" applyAlignment="1" applyProtection="1">
      <alignment horizontal="center" vertical="center"/>
    </xf>
    <xf numFmtId="0" fontId="2" fillId="0" borderId="1" xfId="0" applyFont="1" applyBorder="1" applyAlignment="1" applyProtection="1">
      <alignment horizontal="center" vertical="center" wrapText="1"/>
    </xf>
    <xf numFmtId="0" fontId="0" fillId="0" borderId="0" xfId="0" applyBorder="1" applyAlignment="1" applyProtection="1"/>
    <xf numFmtId="0" fontId="0" fillId="0" borderId="0" xfId="0" applyBorder="1" applyAlignment="1" applyProtection="1">
      <alignment horizontal="center" vertical="center" wrapText="1"/>
    </xf>
    <xf numFmtId="0" fontId="0" fillId="6" borderId="7" xfId="0" applyFill="1" applyBorder="1" applyAlignment="1">
      <alignment horizontal="center" vertical="center"/>
    </xf>
    <xf numFmtId="0" fontId="2" fillId="0" borderId="1"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2" fillId="8" borderId="29" xfId="0" applyFont="1" applyFill="1" applyBorder="1" applyAlignment="1">
      <alignment wrapText="1"/>
    </xf>
    <xf numFmtId="0" fontId="1" fillId="0" borderId="0" xfId="0" applyFont="1" applyAlignment="1"/>
    <xf numFmtId="0" fontId="0" fillId="0" borderId="0" xfId="0" applyAlignment="1"/>
    <xf numFmtId="0" fontId="0" fillId="5" borderId="10" xfId="0" applyFill="1" applyBorder="1" applyAlignment="1">
      <alignment horizontal="center" vertical="center" wrapText="1"/>
    </xf>
    <xf numFmtId="0" fontId="0" fillId="0" borderId="16" xfId="0" applyBorder="1" applyAlignment="1">
      <alignment wrapText="1"/>
    </xf>
    <xf numFmtId="0" fontId="0" fillId="0" borderId="1" xfId="0" applyFont="1" applyBorder="1" applyAlignment="1">
      <alignment horizontal="center" vertical="center" wrapText="1"/>
    </xf>
    <xf numFmtId="0" fontId="0" fillId="0" borderId="17" xfId="0" applyFont="1" applyBorder="1" applyAlignment="1">
      <alignment wrapText="1"/>
    </xf>
    <xf numFmtId="0" fontId="0" fillId="5" borderId="16" xfId="0" applyFill="1" applyBorder="1" applyAlignment="1">
      <alignment horizontal="center" vertical="center" wrapText="1"/>
    </xf>
    <xf numFmtId="0" fontId="0" fillId="0" borderId="19" xfId="0" applyFont="1" applyBorder="1" applyAlignment="1">
      <alignment horizontal="center" vertical="center" wrapText="1"/>
    </xf>
    <xf numFmtId="0" fontId="4" fillId="0" borderId="0" xfId="0" applyFont="1" applyAlignment="1">
      <alignment horizontal="center" vertical="center"/>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wrapText="1"/>
    </xf>
    <xf numFmtId="0" fontId="2"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37" xfId="0" applyBorder="1" applyAlignment="1">
      <alignment horizontal="center" vertical="center" wrapText="1"/>
    </xf>
    <xf numFmtId="0" fontId="0" fillId="2" borderId="33"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0" borderId="6" xfId="0" applyBorder="1" applyAlignment="1">
      <alignment horizontal="center" vertical="center"/>
    </xf>
    <xf numFmtId="0" fontId="0" fillId="4" borderId="5" xfId="0" applyFill="1" applyBorder="1" applyAlignment="1">
      <alignment horizontal="center" vertical="center" wrapText="1"/>
    </xf>
    <xf numFmtId="0" fontId="0" fillId="0" borderId="6" xfId="0" applyBorder="1" applyAlignment="1">
      <alignment horizontal="center" vertical="center" wrapText="1"/>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lignment horizontal="center" wrapText="1"/>
    </xf>
    <xf numFmtId="0" fontId="0" fillId="0" borderId="17" xfId="0" applyBorder="1" applyAlignment="1">
      <alignment wrapText="1"/>
    </xf>
    <xf numFmtId="0" fontId="3" fillId="7" borderId="7" xfId="0" applyFont="1" applyFill="1" applyBorder="1" applyAlignment="1">
      <alignment horizontal="center" vertical="center" wrapText="1"/>
    </xf>
    <xf numFmtId="0" fontId="3" fillId="7" borderId="14" xfId="0" applyFont="1" applyFill="1" applyBorder="1" applyAlignment="1">
      <alignment wrapText="1"/>
    </xf>
    <xf numFmtId="0" fontId="3" fillId="7" borderId="3" xfId="0" applyFont="1" applyFill="1" applyBorder="1" applyAlignment="1">
      <alignment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17" xfId="0" applyFont="1" applyBorder="1" applyAlignment="1">
      <alignment horizontal="center" wrapText="1"/>
    </xf>
    <xf numFmtId="0" fontId="4" fillId="0" borderId="0" xfId="0" applyFont="1" applyAlignment="1" applyProtection="1">
      <alignment horizontal="left" vertical="center"/>
    </xf>
    <xf numFmtId="0" fontId="0" fillId="0" borderId="0" xfId="0" applyAlignment="1" applyProtection="1">
      <alignment horizontal="left"/>
    </xf>
    <xf numFmtId="0" fontId="1" fillId="0" borderId="0" xfId="0" applyFont="1" applyAlignment="1" applyProtection="1"/>
    <xf numFmtId="0" fontId="0" fillId="0" borderId="0" xfId="0" applyAlignment="1" applyProtection="1"/>
    <xf numFmtId="0" fontId="1" fillId="0" borderId="26"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0" fillId="5" borderId="10" xfId="0" applyFill="1" applyBorder="1" applyAlignment="1" applyProtection="1">
      <alignment horizontal="center" vertical="center" wrapText="1"/>
    </xf>
    <xf numFmtId="0" fontId="0" fillId="0" borderId="27" xfId="0" applyBorder="1" applyAlignment="1" applyProtection="1">
      <alignment wrapText="1"/>
    </xf>
    <xf numFmtId="0" fontId="0" fillId="4" borderId="26" xfId="0" applyFill="1" applyBorder="1" applyAlignment="1" applyProtection="1">
      <alignment horizontal="center" vertical="center"/>
    </xf>
    <xf numFmtId="0" fontId="0" fillId="0" borderId="31" xfId="0"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19" xfId="0" applyFont="1" applyBorder="1" applyAlignment="1" applyProtection="1">
      <alignment horizontal="center" wrapText="1"/>
    </xf>
    <xf numFmtId="0" fontId="0" fillId="2" borderId="26"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4" borderId="26" xfId="0" applyFill="1"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19" xfId="0" applyFont="1" applyBorder="1" applyAlignment="1" applyProtection="1">
      <alignment wrapText="1"/>
    </xf>
    <xf numFmtId="0" fontId="0" fillId="0" borderId="32" xfId="0" applyBorder="1" applyAlignment="1" applyProtection="1">
      <alignment wrapText="1"/>
    </xf>
    <xf numFmtId="0" fontId="2" fillId="8" borderId="0" xfId="0" applyFont="1" applyFill="1" applyBorder="1" applyAlignment="1">
      <alignment wrapText="1"/>
    </xf>
    <xf numFmtId="1" fontId="0" fillId="4" borderId="18" xfId="0" applyNumberFormat="1" applyFill="1" applyBorder="1" applyAlignment="1" applyProtection="1">
      <alignment horizontal="center" vertical="center"/>
    </xf>
    <xf numFmtId="1" fontId="0" fillId="4" borderId="20" xfId="0" applyNumberFormat="1" applyFill="1" applyBorder="1" applyAlignment="1" applyProtection="1">
      <alignment horizontal="center" vertical="center"/>
    </xf>
    <xf numFmtId="0" fontId="0" fillId="0" borderId="20" xfId="0" applyFont="1" applyBorder="1" applyAlignment="1" applyProtection="1">
      <alignment wrapText="1"/>
    </xf>
    <xf numFmtId="0" fontId="0" fillId="5" borderId="27" xfId="0" applyFill="1" applyBorder="1" applyAlignment="1" applyProtection="1">
      <alignment horizontal="center" vertical="center" wrapText="1"/>
    </xf>
    <xf numFmtId="0" fontId="0" fillId="4" borderId="26" xfId="0" applyFont="1" applyFill="1" applyBorder="1" applyAlignment="1" applyProtection="1">
      <alignment horizontal="center" vertical="center"/>
    </xf>
    <xf numFmtId="0" fontId="0" fillId="4" borderId="31" xfId="0" applyFont="1" applyFill="1" applyBorder="1" applyAlignment="1" applyProtection="1">
      <alignment horizontal="center" vertical="center"/>
    </xf>
    <xf numFmtId="0" fontId="0" fillId="0" borderId="19" xfId="0" applyFont="1" applyBorder="1" applyAlignment="1" applyProtection="1">
      <alignment horizontal="center" vertical="center" wrapText="1"/>
    </xf>
  </cellXfs>
  <cellStyles count="1">
    <cellStyle name="Normal" xfId="0" builtinId="0"/>
  </cellStyles>
  <dxfs count="72">
    <dxf>
      <fill>
        <patternFill>
          <bgColor rgb="FFFFFF00"/>
        </patternFill>
      </fill>
    </dxf>
    <dxf>
      <font>
        <color theme="0"/>
      </font>
    </dxf>
    <dxf>
      <font>
        <color theme="5" tint="0.59996337778862885"/>
      </font>
    </dxf>
    <dxf>
      <font>
        <color theme="5" tint="0.59996337778862885"/>
      </font>
    </dxf>
    <dxf>
      <font>
        <color theme="5" tint="0.59996337778862885"/>
      </font>
    </dxf>
    <dxf>
      <font>
        <color theme="5" tint="0.59996337778862885"/>
      </font>
    </dxf>
    <dxf>
      <font>
        <color theme="1"/>
      </font>
      <fill>
        <patternFill>
          <bgColor rgb="FFFF0000"/>
        </patternFill>
      </fill>
    </dxf>
    <dxf>
      <font>
        <color theme="0"/>
      </font>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5" tint="0.59996337778862885"/>
      </font>
    </dxf>
    <dxf>
      <font>
        <color theme="5" tint="0.59996337778862885"/>
      </font>
    </dxf>
    <dxf>
      <font>
        <color theme="5" tint="0.59996337778862885"/>
      </font>
    </dxf>
    <dxf>
      <font>
        <color theme="5" tint="0.59996337778862885"/>
      </font>
    </dxf>
    <dxf>
      <font>
        <color theme="5" tint="0.59996337778862885"/>
      </font>
    </dxf>
    <dxf>
      <font>
        <color theme="5" tint="0.59996337778862885"/>
      </font>
    </dxf>
    <dxf>
      <fill>
        <patternFill>
          <bgColor rgb="FFFF0000"/>
        </patternFill>
      </fill>
    </dxf>
    <dxf>
      <fill>
        <patternFill>
          <bgColor rgb="FF92D050"/>
        </patternFill>
      </fill>
    </dxf>
    <dxf>
      <font>
        <color theme="0"/>
      </font>
    </dxf>
    <dxf>
      <font>
        <color theme="5" tint="0.59996337778862885"/>
      </font>
    </dxf>
    <dxf>
      <font>
        <color theme="5" tint="0.59996337778862885"/>
      </font>
    </dxf>
    <dxf>
      <font>
        <color theme="5" tint="0.59996337778862885"/>
      </font>
    </dxf>
    <dxf>
      <font>
        <color theme="5" tint="0.59996337778862885"/>
      </font>
    </dxf>
    <dxf>
      <fill>
        <patternFill>
          <bgColor rgb="FFFFC000"/>
        </patternFill>
      </fill>
    </dxf>
    <dxf>
      <fill>
        <patternFill>
          <bgColor rgb="FFFFFF00"/>
        </patternFill>
      </fill>
    </dxf>
    <dxf>
      <fill>
        <patternFill>
          <bgColor rgb="FF92D050"/>
        </patternFill>
      </fill>
    </dxf>
    <dxf>
      <font>
        <color theme="0"/>
      </font>
    </dxf>
    <dxf>
      <font>
        <color theme="0"/>
      </font>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ont>
        <color theme="0"/>
      </font>
    </dxf>
    <dxf>
      <font>
        <color theme="1"/>
      </font>
      <fill>
        <patternFill>
          <bgColor rgb="FFFF0000"/>
        </patternFill>
      </fill>
    </dxf>
    <dxf>
      <font>
        <color theme="0"/>
      </font>
    </dxf>
    <dxf>
      <font>
        <color theme="1"/>
      </font>
      <fill>
        <patternFill>
          <bgColor rgb="FFFF0000"/>
        </patternFill>
      </fill>
    </dxf>
    <dxf>
      <fill>
        <patternFill>
          <bgColor rgb="FFFF0000"/>
        </patternFill>
      </fill>
    </dxf>
    <dxf>
      <fill>
        <patternFill>
          <bgColor rgb="FF92D050"/>
        </patternFill>
      </fill>
    </dxf>
    <dxf>
      <font>
        <color theme="0"/>
      </font>
    </dxf>
    <dxf>
      <font>
        <color theme="5" tint="0.59996337778862885"/>
      </font>
    </dxf>
    <dxf>
      <font>
        <color theme="5" tint="0.59996337778862885"/>
      </font>
    </dxf>
    <dxf>
      <font>
        <color theme="5" tint="0.59996337778862885"/>
      </font>
    </dxf>
    <dxf>
      <font>
        <color theme="5" tint="0.59996337778862885"/>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5" tint="0.59996337778862885"/>
      </font>
    </dxf>
    <dxf>
      <font>
        <color theme="5" tint="0.59996337778862885"/>
      </font>
    </dxf>
    <dxf>
      <font>
        <color theme="5" tint="0.59996337778862885"/>
      </font>
    </dxf>
    <dxf>
      <font>
        <color theme="5" tint="0.59996337778862885"/>
      </font>
    </dxf>
    <dxf>
      <font>
        <color theme="5" tint="0.59996337778862885"/>
      </font>
    </dxf>
    <dxf>
      <font>
        <color theme="5" tint="0.59996337778862885"/>
      </font>
    </dxf>
    <dxf>
      <fill>
        <patternFill>
          <bgColor rgb="FFFFC000"/>
        </patternFill>
      </fill>
    </dxf>
    <dxf>
      <fill>
        <patternFill>
          <bgColor rgb="FFFFFF00"/>
        </patternFill>
      </fill>
    </dxf>
    <dxf>
      <fill>
        <patternFill>
          <bgColor rgb="FF92D050"/>
        </patternFill>
      </fill>
    </dxf>
    <dxf>
      <font>
        <color theme="0"/>
      </font>
    </dxf>
    <dxf>
      <font>
        <color theme="0"/>
      </font>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ont>
        <color theme="0"/>
      </font>
    </dxf>
  </dxfs>
  <tableStyles count="0" defaultTableStyle="TableStyleMedium2" defaultPivotStyle="PivotStyleLight16"/>
  <colors>
    <mruColors>
      <color rgb="FFCCCCFF"/>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570442</xdr:colOff>
      <xdr:row>0</xdr:row>
      <xdr:rowOff>0</xdr:rowOff>
    </xdr:from>
    <xdr:to>
      <xdr:col>17</xdr:col>
      <xdr:colOff>570442</xdr:colOff>
      <xdr:row>143</xdr:row>
      <xdr:rowOff>167640</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570442" y="0"/>
          <a:ext cx="10325100" cy="26319480"/>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a:solidFill>
              <a:schemeClr val="tx1"/>
            </a:solidFill>
          </a:endParaRPr>
        </a:p>
        <a:p>
          <a:pPr algn="ctr"/>
          <a:endParaRPr lang="en-US" sz="1400" b="1">
            <a:solidFill>
              <a:schemeClr val="tx1"/>
            </a:solidFill>
          </a:endParaRPr>
        </a:p>
        <a:p>
          <a:pPr algn="ctr"/>
          <a:endParaRPr lang="en-US" sz="1400" b="1">
            <a:solidFill>
              <a:schemeClr val="tx1"/>
            </a:solidFill>
          </a:endParaRPr>
        </a:p>
        <a:p>
          <a:pPr algn="ctr"/>
          <a:endParaRPr lang="en-US" sz="1400" b="1">
            <a:solidFill>
              <a:schemeClr val="tx1"/>
            </a:solidFill>
          </a:endParaRPr>
        </a:p>
        <a:p>
          <a:pPr algn="ctr"/>
          <a:r>
            <a:rPr lang="en-US" sz="1200" b="1">
              <a:solidFill>
                <a:schemeClr val="tx1"/>
              </a:solidFill>
            </a:rPr>
            <a:t>A</a:t>
          </a:r>
          <a:r>
            <a:rPr lang="en-US" sz="1200" b="1" baseline="0">
              <a:solidFill>
                <a:schemeClr val="tx1"/>
              </a:solidFill>
            </a:rPr>
            <a:t> Spreadsheet-Based Calculator for Lawn Fertilizer and Lime Applications in Virginia SPES-40A</a:t>
          </a:r>
        </a:p>
        <a:p>
          <a:pPr algn="ctr"/>
          <a:endParaRPr lang="en-US" sz="1200" b="1">
            <a:solidFill>
              <a:schemeClr val="tx1"/>
            </a:solidFill>
          </a:endParaRPr>
        </a:p>
        <a:p>
          <a:pPr algn="ctr"/>
          <a:r>
            <a:rPr lang="en-US" sz="1400" b="1">
              <a:solidFill>
                <a:schemeClr val="tx1"/>
              </a:solidFill>
            </a:rPr>
            <a:t>WELCOME!</a:t>
          </a:r>
        </a:p>
        <a:p>
          <a:pPr algn="ctr"/>
          <a:endParaRPr lang="en-US" sz="115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50" b="0" i="0" u="none" strike="noStrike" kern="0" cap="none" spc="0" normalizeH="0" baseline="0" noProof="0">
              <a:ln>
                <a:noFill/>
              </a:ln>
              <a:solidFill>
                <a:prstClr val="black"/>
              </a:solidFill>
              <a:effectLst/>
              <a:uLnTx/>
              <a:uFillTx/>
              <a:latin typeface="+mn-lt"/>
              <a:ea typeface="+mn-ea"/>
              <a:cs typeface="+mn-cs"/>
            </a:rPr>
            <a:t>This workbook is designed to help you with granular/dry fertilizer and lime applications to your established turfgrass areas. The nutrient needs of turfgrass varies depending on species, age, how it is managed, and the environment it is growing in. If the turf has been established for a long time, it is dense, the clippings are left on the lawn after mowing, and you are satisfied with its appearance, it might not need fertilizer applications. The soil is probably carrying enough nutrients for plant growth to meet your expectations. If the lawn appears to be unhealthy, it is less than 10 years old, or if you remove the clippings from the lawn after it is mowed, fertilizer applications could be needed. If the turf is unhealthy, the problem could also be due to other issues such as soil compaction, too much moisture, or shade.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50" b="0" i="0" u="none" strike="noStrike" kern="0" cap="none" spc="0" normalizeH="0" baseline="0" noProof="0">
              <a:ln>
                <a:noFill/>
              </a:ln>
              <a:solidFill>
                <a:prstClr val="black"/>
              </a:solidFill>
              <a:effectLst/>
              <a:uLnTx/>
              <a:uFillTx/>
              <a:latin typeface="+mn-lt"/>
              <a:ea typeface="+mn-ea"/>
              <a:cs typeface="+mn-cs"/>
            </a:rPr>
            <a:t>A soil test will help you to determine if fertilizer and/or lime is needed. When fertilizers are used properly, they can help to remedy nutrient deficiencies, improve plant appearance/vigor, and improve stress tolerance. Improper fertilizer use can result in damage to plants or water quality.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50" b="0" i="0" u="none" strike="noStrike" kern="0" cap="none" spc="0" normalizeH="0" baseline="0" noProof="0">
              <a:ln>
                <a:noFill/>
              </a:ln>
              <a:solidFill>
                <a:prstClr val="black"/>
              </a:solidFill>
              <a:effectLst/>
              <a:uLnTx/>
              <a:uFillTx/>
              <a:latin typeface="+mn-lt"/>
              <a:ea typeface="+mn-ea"/>
              <a:cs typeface="+mn-cs"/>
            </a:rPr>
            <a:t>By following the recommendations in this workbook, you will be doing your part to supply the nutrients your lawn needs while helping to protect the environment. You could also save money by avoiding unnecessary or poorly timed fertilizer applications. Refer to "A Spreadsheet-Based Calculator for Lawn Fertilizer and Lime Applications in Virginia," Virginia Cooperative Extension publication SPES-40P, for more detailed information regarding the use of this calculator.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50" b="1" i="0" u="none" strike="noStrike" kern="0" cap="none" spc="0" normalizeH="0" baseline="0" noProof="0">
              <a:ln>
                <a:noFill/>
              </a:ln>
              <a:solidFill>
                <a:prstClr val="black"/>
              </a:solidFill>
              <a:effectLst/>
              <a:uLnTx/>
              <a:uFillTx/>
              <a:latin typeface="+mn-lt"/>
              <a:ea typeface="+mn-ea"/>
              <a:cs typeface="+mn-cs"/>
            </a:rPr>
            <a:t>BEFORE GETTING STARTED </a:t>
          </a: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50" b="1" i="0" u="none" strike="noStrike" kern="0" cap="none" spc="0" normalizeH="0" baseline="0" noProof="0">
              <a:ln>
                <a:noFill/>
              </a:ln>
              <a:solidFill>
                <a:prstClr val="black"/>
              </a:solidFill>
              <a:effectLst/>
              <a:uLnTx/>
              <a:uFillTx/>
              <a:latin typeface="+mn-lt"/>
              <a:ea typeface="+mn-ea"/>
              <a:cs typeface="+mn-cs"/>
            </a:rPr>
            <a:t>NOTE: </a:t>
          </a:r>
          <a:r>
            <a:rPr kumimoji="0" lang="en-US" sz="1150" b="0" i="0" u="none" strike="noStrike" kern="0" cap="none" spc="0" normalizeH="0" baseline="0" noProof="0">
              <a:ln>
                <a:noFill/>
              </a:ln>
              <a:solidFill>
                <a:prstClr val="black"/>
              </a:solidFill>
              <a:effectLst/>
              <a:uLnTx/>
              <a:uFillTx/>
              <a:latin typeface="+mn-lt"/>
              <a:ea typeface="+mn-ea"/>
              <a:cs typeface="+mn-cs"/>
            </a:rPr>
            <a:t>Staff at Virginia Cooperative Extension offices can assist you with any of the items below. Please visit www.ext.vt.edu/ to find the nearest office and obtain contact information.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50" b="0" i="0" u="none" strike="noStrike" kern="0" cap="none" spc="0" normalizeH="0" baseline="0" noProof="0">
              <a:ln>
                <a:noFill/>
              </a:ln>
              <a:solidFill>
                <a:prstClr val="black"/>
              </a:solidFill>
              <a:effectLst/>
              <a:uLnTx/>
              <a:uFillTx/>
              <a:latin typeface="+mn-lt"/>
              <a:ea typeface="+mn-ea"/>
              <a:cs typeface="+mn-cs"/>
            </a:rPr>
            <a:t>You will need to do the following:</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50" b="0" i="0" u="none" strike="noStrike" kern="0" cap="none" spc="0" normalizeH="0" baseline="0" noProof="0">
              <a:ln>
                <a:noFill/>
              </a:ln>
              <a:solidFill>
                <a:prstClr val="black"/>
              </a:solidFill>
              <a:effectLst/>
              <a:uLnTx/>
              <a:uFillTx/>
              <a:latin typeface="+mn-lt"/>
              <a:ea typeface="+mn-ea"/>
              <a:cs typeface="+mn-cs"/>
            </a:rPr>
            <a:t>Determine what type of turfgrass you have in your lawn. It is best to determine what species of grass you have, but determining a cool- versus a warm-season lawn will also work. Unsure if you have a cool- or warm-season lawn? Ask an Extension agent or use these tips: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r>
            <a:rPr kumimoji="0" lang="en-US" sz="1150" b="0" i="0" u="none" strike="noStrike" kern="0" cap="none" spc="0" normalizeH="0" baseline="0" noProof="0">
              <a:ln>
                <a:noFill/>
              </a:ln>
              <a:solidFill>
                <a:prstClr val="black"/>
              </a:solidFill>
              <a:effectLst/>
              <a:uLnTx/>
              <a:uFillTx/>
              <a:latin typeface="+mn-lt"/>
              <a:ea typeface="+mn-ea"/>
              <a:cs typeface="+mn-cs"/>
            </a:rPr>
            <a:t>Cool-season lawns typically struggle during the hot summer months and thrive during the cool fall and spring months (its best growing period). The grass will not go dormant in the late fall through winter (this means that it will stay green). Look closely at the blades of grass. The leaves should not be hairy or they will have very short hairs that are difficult to see.</a:t>
          </a: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r>
            <a:rPr kumimoji="0" lang="en-US" sz="1150" b="0" i="0" u="none" strike="noStrike" kern="0" cap="none" spc="0" normalizeH="0" baseline="0" noProof="0">
              <a:ln>
                <a:noFill/>
              </a:ln>
              <a:solidFill>
                <a:prstClr val="black"/>
              </a:solidFill>
              <a:effectLst/>
              <a:uLnTx/>
              <a:uFillTx/>
              <a:latin typeface="+mn-lt"/>
              <a:ea typeface="+mn-ea"/>
              <a:cs typeface="+mn-cs"/>
            </a:rPr>
            <a:t>Warm-season lawns typically thrive during warmer summer months. The grass will go dormant if temperatures are cool enough in the late fall or winter (this means that the lawn will turn brown). Look closely at the blades of grass. There are typically hairs either on the leaf itself or a tuft is on the base of the leaf blade where it meets the stalk. You might have to pull the leaf back slightly to see the tuft. </a:t>
          </a:r>
        </a:p>
        <a:p>
          <a:pPr marL="228600" marR="0" lvl="0" indent="-228600" algn="l" defTabSz="914400" eaLnBrk="1" fontAlgn="auto" latinLnBrk="0" hangingPunct="1">
            <a:lnSpc>
              <a:spcPct val="100000"/>
            </a:lnSpc>
            <a:spcBef>
              <a:spcPts val="0"/>
            </a:spcBef>
            <a:spcAft>
              <a:spcPts val="0"/>
            </a:spcAft>
            <a:buClrTx/>
            <a:buSzTx/>
            <a:buFont typeface="+mj-lt"/>
            <a:buAutoNum type="arabicPeriod" startAt="2"/>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startAt="2"/>
            <a:tabLst/>
            <a:defRPr/>
          </a:pPr>
          <a:r>
            <a:rPr kumimoji="0" lang="en-US" sz="1150" b="0" i="0" u="none" strike="noStrike" kern="0" cap="none" spc="0" normalizeH="0" baseline="0" noProof="0">
              <a:ln>
                <a:noFill/>
              </a:ln>
              <a:solidFill>
                <a:prstClr val="black"/>
              </a:solidFill>
              <a:effectLst/>
              <a:uLnTx/>
              <a:uFillTx/>
              <a:latin typeface="+mn-lt"/>
              <a:ea typeface="+mn-ea"/>
              <a:cs typeface="+mn-cs"/>
            </a:rPr>
            <a:t>Determine the size of your lawn in square feet. A measuring wheel is best for small areas and can also be used for large areas. Refer to "How to Measure Your Lawn," University of Maryland Extension publication HG 306 for help. It is available at https://extension.umd.edu/sites/extension.umd.edu/files/_images/programs/hgic/PublicationsHG306_How_to_Measure_Your_Yard.pdf.</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startAt="3"/>
            <a:tabLst/>
            <a:defRPr/>
          </a:pPr>
          <a:r>
            <a:rPr kumimoji="0" lang="en-US" sz="1150" b="0" i="0" u="none" strike="noStrike" kern="0" cap="none" spc="0" normalizeH="0" baseline="0" noProof="0">
              <a:ln>
                <a:noFill/>
              </a:ln>
              <a:solidFill>
                <a:prstClr val="black"/>
              </a:solidFill>
              <a:effectLst/>
              <a:uLnTx/>
              <a:uFillTx/>
              <a:latin typeface="+mn-lt"/>
              <a:ea typeface="+mn-ea"/>
              <a:cs typeface="+mn-cs"/>
            </a:rPr>
            <a:t>Take soil samples from your lawn and obtain reports. You can take soil samples at any time, but you might want to take soil samples in the winter (if the ground is not frozen) or in early spring before fertilizer applications will take place.  This calculator uses results from the Virginia Tech Soil Testing Lab in Blacksburg. Soil sample boxes for the Virginia Tech Soil Testing Lab can be obtained from any Virginia Cooperative Extension office and are also available in some public libraries. Refer to "Soil Sampling for the Home Gardener," Virginia Cooperative Extension publication 452-129, for help. It is available at http://pubs.ext.vt.edu/content/dam/pubs_ext_vt_edu/452/452-129/452-129_pdf.pdf.</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50" b="1" i="0" u="none" strike="noStrike" kern="0" cap="none" spc="0" normalizeH="0" baseline="0" noProof="0">
              <a:ln>
                <a:noFill/>
              </a:ln>
              <a:solidFill>
                <a:prstClr val="black"/>
              </a:solidFill>
              <a:effectLst/>
              <a:uLnTx/>
              <a:uFillTx/>
              <a:latin typeface="+mn-lt"/>
              <a:ea typeface="+mn-ea"/>
              <a:cs typeface="+mn-cs"/>
            </a:rPr>
            <a:t>	</a:t>
          </a: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50" b="1" i="0" u="none" strike="noStrike" kern="0" cap="none" spc="0" normalizeH="0" baseline="0" noProof="0">
              <a:ln>
                <a:noFill/>
              </a:ln>
              <a:solidFill>
                <a:prstClr val="black"/>
              </a:solidFill>
              <a:effectLst/>
              <a:uLnTx/>
              <a:uFillTx/>
              <a:latin typeface="+mn-lt"/>
              <a:ea typeface="+mn-ea"/>
              <a:cs typeface="+mn-cs"/>
            </a:rPr>
            <a:t>INSTRUCTIONS FOR THE CALCULATORS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1" i="1" u="none" strike="noStrike" kern="0" cap="none" spc="0" normalizeH="0" baseline="0" noProof="0">
            <a:ln>
              <a:noFill/>
            </a:ln>
            <a:solidFill>
              <a:prstClr val="black"/>
            </a:solidFill>
            <a:effectLst/>
            <a:uLnTx/>
            <a:uFillTx/>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50" b="0" i="0" u="none" strike="noStrike" kern="0" cap="none" spc="0" normalizeH="0" baseline="0" noProof="0">
              <a:ln>
                <a:noFill/>
              </a:ln>
              <a:solidFill>
                <a:prstClr val="black"/>
              </a:solidFill>
              <a:effectLst/>
              <a:uLnTx/>
              <a:uFillTx/>
              <a:latin typeface="+mn-lt"/>
              <a:ea typeface="+mn-ea"/>
              <a:cs typeface="+mn-cs"/>
            </a:rPr>
            <a:t>Click a tab below corresponding to fertilizer applications for either Cool-Season Lawns (blue) or Warm-Season Lawns (orange). If your soil test indicates a need for lime, the Lime tab can be used for either cool-season or warm-season lawns. </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50" b="0" i="0" u="none" strike="noStrike" kern="0" cap="none" spc="0" normalizeH="0" baseline="0" noProof="0">
              <a:ln>
                <a:noFill/>
              </a:ln>
              <a:solidFill>
                <a:prstClr val="black"/>
              </a:solidFill>
              <a:effectLst/>
              <a:uLnTx/>
              <a:uFillTx/>
              <a:latin typeface="+mn-lt"/>
              <a:ea typeface="+mn-ea"/>
              <a:cs typeface="+mn-cs"/>
            </a:rPr>
            <a:t>For the fertilizer application tabs, enter information for each item in order, from 1 to 6. You might have to scroll down to see each item, depending on the size of your computer screen. Some items could have further instructions included underneath the questions. When you enter information in items 1-6, you might receive an alert or additional information in the adjacent white box. </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r>
            <a:rPr kumimoji="0" lang="en-US" sz="1150" b="0" i="0" u="none" strike="noStrike" kern="0" cap="none" spc="0" normalizeH="0" baseline="0" noProof="0">
              <a:ln>
                <a:noFill/>
              </a:ln>
              <a:solidFill>
                <a:prstClr val="black"/>
              </a:solidFill>
              <a:effectLst/>
              <a:uLnTx/>
              <a:uFillTx/>
              <a:latin typeface="+mn-lt"/>
              <a:ea typeface="+mn-ea"/>
              <a:cs typeface="+mn-cs"/>
            </a:rPr>
            <a:t>For item 1, be sure to enter the size of your lawn in </a:t>
          </a:r>
          <a:r>
            <a:rPr kumimoji="0" lang="en-US" sz="1150" b="1" i="0" u="none" strike="noStrike" kern="0" cap="none" spc="0" normalizeH="0" baseline="0" noProof="0">
              <a:ln>
                <a:noFill/>
              </a:ln>
              <a:solidFill>
                <a:prstClr val="black"/>
              </a:solidFill>
              <a:effectLst/>
              <a:uLnTx/>
              <a:uFillTx/>
              <a:latin typeface="+mn-lt"/>
              <a:ea typeface="+mn-ea"/>
              <a:cs typeface="+mn-cs"/>
            </a:rPr>
            <a:t>square feet.</a:t>
          </a: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endParaRPr kumimoji="0" lang="en-US" sz="1150" b="1" i="0" u="none" strike="noStrike" kern="0" cap="none" spc="0" normalizeH="0" baseline="0" noProof="0">
            <a:ln>
              <a:noFill/>
            </a:ln>
            <a:solidFill>
              <a:prstClr val="black"/>
            </a:solidFill>
            <a:effectLst/>
            <a:uLnTx/>
            <a:uFillTx/>
            <a:latin typeface="+mn-lt"/>
            <a:ea typeface="+mn-ea"/>
            <a:cs typeface="+mn-cs"/>
          </a:endParaRP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r>
            <a:rPr kumimoji="0" lang="en-US" sz="1150" b="0" i="0" u="none" strike="noStrike" kern="0" cap="none" spc="0" normalizeH="0" baseline="0" noProof="0">
              <a:ln>
                <a:noFill/>
              </a:ln>
              <a:solidFill>
                <a:prstClr val="black"/>
              </a:solidFill>
              <a:effectLst/>
              <a:uLnTx/>
              <a:uFillTx/>
              <a:latin typeface="+mn-lt"/>
              <a:ea typeface="+mn-ea"/>
              <a:cs typeface="+mn-cs"/>
            </a:rPr>
            <a:t>For item 2, choose the amount of nitrogen (N) you want to add to your lawn. Recommendations are next to the input area. If the N amount you choose is too high, you will receive an alert instructing you to lower the amount. Keep in mind that the need for mowing will increase as the N amount is increased. </a:t>
          </a: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r>
            <a:rPr kumimoji="0" lang="en-US" sz="1150" b="0" i="0" u="none" strike="noStrike" kern="0" cap="none" spc="0" normalizeH="0" baseline="0" noProof="0">
              <a:ln>
                <a:noFill/>
              </a:ln>
              <a:solidFill>
                <a:prstClr val="black"/>
              </a:solidFill>
              <a:effectLst/>
              <a:uLnTx/>
              <a:uFillTx/>
              <a:latin typeface="+mn-lt"/>
              <a:ea typeface="+mn-ea"/>
              <a:cs typeface="+mn-cs"/>
            </a:rPr>
            <a:t>For item 3, enter the phosphorus (P) fertility rating from your Virginia Cooperative Extension Soil Test Report. This letter is included below the P lb/a box on the report. </a:t>
          </a:r>
          <a:r>
            <a:rPr kumimoji="0" lang="en-US" sz="1150" b="1" i="0" u="none" strike="noStrike" kern="0" cap="none" spc="0" normalizeH="0" baseline="0" noProof="0">
              <a:ln>
                <a:noFill/>
              </a:ln>
              <a:solidFill>
                <a:prstClr val="black"/>
              </a:solidFill>
              <a:effectLst/>
              <a:uLnTx/>
              <a:uFillTx/>
              <a:latin typeface="+mn-lt"/>
              <a:ea typeface="+mn-ea"/>
              <a:cs typeface="+mn-cs"/>
            </a:rPr>
            <a:t>Make sure you enter the + or - symbol, if present. </a:t>
          </a:r>
          <a:r>
            <a:rPr kumimoji="0" lang="en-US" sz="1150" b="0" i="0" u="none" strike="noStrike" kern="0" cap="none" spc="0" normalizeH="0" baseline="0" noProof="0">
              <a:ln>
                <a:noFill/>
              </a:ln>
              <a:solidFill>
                <a:prstClr val="black"/>
              </a:solidFill>
              <a:effectLst/>
              <a:uLnTx/>
              <a:uFillTx/>
              <a:latin typeface="+mn-lt"/>
              <a:ea typeface="+mn-ea"/>
              <a:cs typeface="+mn-cs"/>
            </a:rPr>
            <a:t>You can also click on the gray arrow to select from a list of choices. You will receive an alert telling you whether or not you need a fertilizer containing phosphorus.</a:t>
          </a: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r>
            <a:rPr kumimoji="0" lang="en-US" sz="1150" b="0" i="0" u="none" strike="noStrike" kern="0" cap="none" spc="0" normalizeH="0" baseline="0" noProof="0">
              <a:ln>
                <a:noFill/>
              </a:ln>
              <a:solidFill>
                <a:prstClr val="black"/>
              </a:solidFill>
              <a:effectLst/>
              <a:uLnTx/>
              <a:uFillTx/>
              <a:latin typeface="+mn-lt"/>
              <a:ea typeface="+mn-ea"/>
              <a:cs typeface="+mn-cs"/>
            </a:rPr>
            <a:t>For item 4, enter the potassium (K) fertility rating from your Virginia Cooperative Extension Soil Test Report. This letter is included below the K lb/a box on the report. </a:t>
          </a:r>
          <a:r>
            <a:rPr kumimoji="0" lang="en-US" sz="1150" b="1" i="0" u="none" strike="noStrike" kern="0" cap="none" spc="0" normalizeH="0" baseline="0" noProof="0">
              <a:ln>
                <a:noFill/>
              </a:ln>
              <a:solidFill>
                <a:prstClr val="black"/>
              </a:solidFill>
              <a:effectLst/>
              <a:uLnTx/>
              <a:uFillTx/>
              <a:latin typeface="+mn-lt"/>
              <a:ea typeface="+mn-ea"/>
              <a:cs typeface="+mn-cs"/>
            </a:rPr>
            <a:t>Make sure you enter the + or - symbol, if present. </a:t>
          </a:r>
          <a:r>
            <a:rPr kumimoji="0" lang="en-US" sz="1150" b="0" i="0" u="none" strike="noStrike" kern="0" cap="none" spc="0" normalizeH="0" baseline="0" noProof="0">
              <a:ln>
                <a:noFill/>
              </a:ln>
              <a:solidFill>
                <a:prstClr val="black"/>
              </a:solidFill>
              <a:effectLst/>
              <a:uLnTx/>
              <a:uFillTx/>
              <a:latin typeface="+mn-lt"/>
              <a:ea typeface="+mn-ea"/>
              <a:cs typeface="+mn-cs"/>
            </a:rPr>
            <a:t>You can also click on the gray arrow to select from a list of choices. You will receive an alert letting you know if K is needed.</a:t>
          </a: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r>
            <a:rPr kumimoji="0" lang="en-US" sz="1150" b="0" i="0" u="none" strike="noStrike" kern="0" cap="none" spc="0" normalizeH="0" baseline="0" noProof="0">
              <a:ln>
                <a:noFill/>
              </a:ln>
              <a:solidFill>
                <a:prstClr val="black"/>
              </a:solidFill>
              <a:effectLst/>
              <a:uLnTx/>
              <a:uFillTx/>
              <a:latin typeface="+mn-lt"/>
              <a:ea typeface="+mn-ea"/>
              <a:cs typeface="+mn-cs"/>
            </a:rPr>
            <a:t>For item 5, you will need to enter information from the fertilizer bag you already have or intend to buy. </a:t>
          </a:r>
          <a:r>
            <a:rPr kumimoji="0" lang="en-US" sz="1150" b="1" i="0" u="none" strike="noStrike" kern="0" cap="none" spc="0" normalizeH="0" baseline="0" noProof="0">
              <a:ln>
                <a:noFill/>
              </a:ln>
              <a:solidFill>
                <a:prstClr val="black"/>
              </a:solidFill>
              <a:effectLst/>
              <a:uLnTx/>
              <a:uFillTx/>
              <a:latin typeface="+mn-lt"/>
              <a:ea typeface="+mn-ea"/>
              <a:cs typeface="+mn-cs"/>
            </a:rPr>
            <a:t>Please note that this calculator is NOT intended to be used with "weed and feed" or other products containing pesticides.</a:t>
          </a:r>
          <a:r>
            <a:rPr kumimoji="0" lang="en-US" sz="1150" b="0" i="0" u="none" strike="noStrike" kern="0" cap="none" spc="0" normalizeH="0" baseline="0" noProof="0">
              <a:ln>
                <a:noFill/>
              </a:ln>
              <a:solidFill>
                <a:prstClr val="black"/>
              </a:solidFill>
              <a:effectLst/>
              <a:uLnTx/>
              <a:uFillTx/>
              <a:latin typeface="+mn-lt"/>
              <a:ea typeface="+mn-ea"/>
              <a:cs typeface="+mn-cs"/>
            </a:rPr>
            <a:t> It could be useful to have a separate window open on your computer so you can explore what your local store/online retailer has in stock. You will then enter the "grade" information from the fertilizer bag/description. These are three large numbers representing nitrogen, phosphorus as phosphate, and potassium as potash (N-P-K). Check the alerts you received from items 3 and 4 to see if you need P or K. If you don't need P, choose an N-only or an N/K fertilizer. The second number will be zero for fertilizers without P. N-only fertilizers will have the first number only (such as 10-0-0, 25-0-0, etc.). You will receive an alert if you choose a fertilizer containing P when it is not needed.</a:t>
          </a: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r>
            <a:rPr kumimoji="0" lang="en-US" sz="1150" b="0" i="0" u="none" strike="noStrike" kern="0" cap="none" spc="0" normalizeH="0" baseline="0" noProof="0">
              <a:ln>
                <a:noFill/>
              </a:ln>
              <a:solidFill>
                <a:prstClr val="black"/>
              </a:solidFill>
              <a:effectLst/>
              <a:uLnTx/>
              <a:uFillTx/>
              <a:latin typeface="+mn-lt"/>
              <a:ea typeface="+mn-ea"/>
              <a:cs typeface="+mn-cs"/>
            </a:rPr>
            <a:t>Once you have selected the grade of fertilizer, enter the size of the bag in pounds in item 6. The calculator will determine the number of bags needed for your lawn.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startAt="3"/>
            <a:tabLst/>
            <a:defRPr/>
          </a:pPr>
          <a:r>
            <a:rPr kumimoji="0" lang="en-US" sz="1150" b="0" i="0" u="none" strike="noStrike" kern="0" cap="none" spc="0" normalizeH="0" baseline="0" noProof="0">
              <a:ln>
                <a:noFill/>
              </a:ln>
              <a:solidFill>
                <a:prstClr val="black"/>
              </a:solidFill>
              <a:effectLst/>
              <a:uLnTx/>
              <a:uFillTx/>
              <a:latin typeface="+mn-lt"/>
              <a:ea typeface="+mn-ea"/>
              <a:cs typeface="+mn-cs"/>
            </a:rPr>
            <a:t>For the Lime tab, enter information for each item in order, from 1 to 5. You might need to check availability of products in-store (and possibly online) before using all of the features of this calculator (see note after entering information in item 3). At a minimum, you should know the calcium carbonate equivalent (CCE) value of available products. You would need more of a product with a lower CCE value and less of a product with a higher CCE value.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r>
            <a:rPr lang="en-US" sz="1150" b="0" i="0" baseline="0">
              <a:solidFill>
                <a:schemeClr val="tx1"/>
              </a:solidFill>
              <a:effectLst/>
              <a:latin typeface="+mn-lt"/>
              <a:ea typeface="+mn-ea"/>
              <a:cs typeface="+mn-cs"/>
            </a:rPr>
            <a:t>For item 1, be sure to enter the size of your lawn in </a:t>
          </a:r>
          <a:r>
            <a:rPr lang="en-US" sz="1150" b="1" i="0" u="none" baseline="0">
              <a:solidFill>
                <a:schemeClr val="tx1"/>
              </a:solidFill>
              <a:effectLst/>
              <a:latin typeface="+mn-lt"/>
              <a:ea typeface="+mn-ea"/>
              <a:cs typeface="+mn-cs"/>
            </a:rPr>
            <a:t>square feet.</a:t>
          </a: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endParaRPr lang="en-US" sz="1150" b="1" i="0" u="none" baseline="0">
            <a:solidFill>
              <a:schemeClr val="tx1"/>
            </a:solidFill>
            <a:effectLst/>
            <a:latin typeface="+mn-lt"/>
            <a:ea typeface="+mn-ea"/>
            <a:cs typeface="+mn-cs"/>
          </a:endParaRP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r>
            <a:rPr lang="en-US" sz="1150" b="0" i="0" u="none" baseline="0">
              <a:solidFill>
                <a:schemeClr val="tx1"/>
              </a:solidFill>
              <a:effectLst/>
              <a:latin typeface="+mn-lt"/>
              <a:ea typeface="+mn-ea"/>
              <a:cs typeface="+mn-cs"/>
            </a:rPr>
            <a:t>For item 2, enter the recommended amount of lime from your Virginia Cooperative Extension Soil Test Report. This number is provided at the bottom of the soil test report as a note under Lime Recommendations. The value reported should be in pounds per 1,000 square feet. </a:t>
          </a: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endParaRPr lang="en-US" sz="1150" b="0" i="0" u="none" baseline="0">
            <a:solidFill>
              <a:schemeClr val="tx1"/>
            </a:solidFill>
            <a:effectLst/>
            <a:latin typeface="+mn-lt"/>
            <a:ea typeface="+mn-ea"/>
            <a:cs typeface="+mn-cs"/>
          </a:endParaRP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r>
            <a:rPr lang="en-US" sz="1150" b="0" i="0" u="none" baseline="0">
              <a:solidFill>
                <a:schemeClr val="tx1"/>
              </a:solidFill>
              <a:effectLst/>
              <a:latin typeface="+mn-lt"/>
              <a:ea typeface="+mn-ea"/>
              <a:cs typeface="+mn-cs"/>
            </a:rPr>
            <a:t>For item 3, enter the type of lime recommended from the soil test report (you can select an option from the drop-down list by clicking the gray arrow). The type recommended should be either "agricultural" or "dolomitic" and is found in the note for Lime Recommendations. A note will appear giving more detailed instructions regarding the selection of lime products and consideration of CCE. </a:t>
          </a: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endParaRPr lang="en-US" sz="1150" b="0" i="0" u="none" baseline="0">
            <a:solidFill>
              <a:schemeClr val="tx1"/>
            </a:solidFill>
            <a:effectLst/>
            <a:latin typeface="+mn-lt"/>
            <a:ea typeface="+mn-ea"/>
            <a:cs typeface="+mn-cs"/>
          </a:endParaRP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r>
            <a:rPr lang="en-US" sz="1150" b="0" i="0" u="none" baseline="0">
              <a:solidFill>
                <a:schemeClr val="tx1"/>
              </a:solidFill>
              <a:effectLst/>
              <a:latin typeface="+mn-lt"/>
              <a:ea typeface="+mn-ea"/>
              <a:cs typeface="+mn-cs"/>
            </a:rPr>
            <a:t>For item 4, enter the CCE value found on the bag of the lime product you have or you intend to buy. This value is a percentage found under the Guaranteed Analysis section on the bag. This calculator is designed to work with products with a CCE value between 50% and 100%. Do not include the % symbol when entering the information in the calculator. </a:t>
          </a: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endParaRPr lang="en-US" sz="1150" b="0" i="0" u="none" baseline="0">
            <a:solidFill>
              <a:schemeClr val="tx1"/>
            </a:solidFill>
            <a:effectLst/>
            <a:latin typeface="+mn-lt"/>
            <a:ea typeface="+mn-ea"/>
            <a:cs typeface="+mn-cs"/>
          </a:endParaRPr>
        </a:p>
        <a:p>
          <a:pPr marL="685800" marR="0" lvl="1" indent="-228600" algn="l" defTabSz="914400" eaLnBrk="1" fontAlgn="auto" latinLnBrk="0" hangingPunct="1">
            <a:lnSpc>
              <a:spcPct val="100000"/>
            </a:lnSpc>
            <a:spcBef>
              <a:spcPts val="0"/>
            </a:spcBef>
            <a:spcAft>
              <a:spcPts val="0"/>
            </a:spcAft>
            <a:buClrTx/>
            <a:buSzTx/>
            <a:buFont typeface="+mj-lt"/>
            <a:buAutoNum type="alphaLcPeriod"/>
            <a:tabLst/>
            <a:defRPr/>
          </a:pPr>
          <a:r>
            <a:rPr lang="en-US" sz="1150" b="0" i="0" u="none" baseline="0">
              <a:solidFill>
                <a:schemeClr val="tx1"/>
              </a:solidFill>
              <a:effectLst/>
              <a:latin typeface="+mn-lt"/>
              <a:ea typeface="+mn-ea"/>
              <a:cs typeface="+mn-cs"/>
            </a:rPr>
            <a:t>For item 5, enter the size of the lime bag in pounds. The calculator will determine the number of bags needed for your lawn.</a:t>
          </a: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startAt="4"/>
            <a:tabLst/>
            <a:defRPr/>
          </a:pPr>
          <a:r>
            <a:rPr kumimoji="0" lang="en-US" sz="1150" b="0" i="0" u="none" strike="noStrike" kern="0" cap="none" spc="0" normalizeH="0" baseline="0" noProof="0">
              <a:ln>
                <a:noFill/>
              </a:ln>
              <a:solidFill>
                <a:prstClr val="black"/>
              </a:solidFill>
              <a:effectLst/>
              <a:uLnTx/>
              <a:uFillTx/>
              <a:latin typeface="+mn-lt"/>
              <a:ea typeface="+mn-ea"/>
              <a:cs typeface="+mn-cs"/>
            </a:rPr>
            <a:t>Once all of the information is entered, recommendations will appear on the right-hand side of the screen. You will receive information regarding the number of applications you need, when to make them, how many pounds of product you need to put in the spreader, how many pounds of product you need, and the number of bags of product you need.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50" b="1" i="0" u="none" strike="noStrike" kern="0" cap="none" spc="0" normalizeH="0" baseline="0" noProof="0">
              <a:ln>
                <a:noFill/>
              </a:ln>
              <a:solidFill>
                <a:prstClr val="black"/>
              </a:solidFill>
              <a:effectLst/>
              <a:uLnTx/>
              <a:uFillTx/>
              <a:latin typeface="+mn-lt"/>
              <a:ea typeface="+mn-ea"/>
              <a:cs typeface="+mn-cs"/>
            </a:rPr>
            <a:t>Optional: </a:t>
          </a:r>
          <a:r>
            <a:rPr kumimoji="0" lang="en-US" sz="1150" b="0" i="0" u="none" strike="noStrike" kern="0" cap="none" spc="0" normalizeH="0" baseline="0" noProof="0">
              <a:ln>
                <a:noFill/>
              </a:ln>
              <a:solidFill>
                <a:prstClr val="black"/>
              </a:solidFill>
              <a:effectLst/>
              <a:uLnTx/>
              <a:uFillTx/>
              <a:latin typeface="+mn-lt"/>
              <a:ea typeface="+mn-ea"/>
              <a:cs typeface="+mn-cs"/>
            </a:rPr>
            <a:t>If you used this calculator in the previous year and have leftover fertilizer, you can use the last box in the recommendations section to enter the number of pounds left over and to determine how many new bags you will need. You will need to make sure that the fertilizer is the same product as the current product you will be using.</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50" b="0" i="0" u="none" strike="noStrike" kern="0" cap="none" spc="0" normalizeH="0" baseline="0" noProof="0">
              <a:ln>
                <a:noFill/>
              </a:ln>
              <a:solidFill>
                <a:prstClr val="black"/>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50" b="1" i="0" u="none" strike="noStrike" kern="0" cap="none" spc="0" normalizeH="0" baseline="0" noProof="0">
              <a:ln>
                <a:noFill/>
              </a:ln>
              <a:solidFill>
                <a:prstClr val="black"/>
              </a:solidFill>
              <a:effectLst/>
              <a:uLnTx/>
              <a:uFillTx/>
              <a:latin typeface="+mn-lt"/>
              <a:ea typeface="+mn-ea"/>
              <a:cs typeface="+mn-cs"/>
            </a:rPr>
            <a:t>APPLICATION INFORMATION/INSTRUCTIONS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1" i="1"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50" b="0" i="0" u="none" strike="noStrike" kern="0" cap="none" spc="0" normalizeH="0" baseline="0" noProof="0">
              <a:ln>
                <a:noFill/>
              </a:ln>
              <a:solidFill>
                <a:prstClr val="black"/>
              </a:solidFill>
              <a:effectLst/>
              <a:uLnTx/>
              <a:uFillTx/>
              <a:latin typeface="+mn-lt"/>
              <a:ea typeface="+mn-ea"/>
              <a:cs typeface="+mn-cs"/>
            </a:rPr>
            <a:t>Use a scale and an empty container to measure out the appropriate per-application amount of fertilizer or lime. </a:t>
          </a:r>
          <a:endParaRPr kumimoji="0" lang="en-US" sz="1150" b="1" i="1"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1" i="1"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50" b="0" i="0" u="none" strike="noStrike" kern="0" cap="none" spc="0" normalizeH="0" baseline="0" noProof="0">
              <a:ln>
                <a:noFill/>
              </a:ln>
              <a:solidFill>
                <a:prstClr val="black"/>
              </a:solidFill>
              <a:effectLst/>
              <a:uLnTx/>
              <a:uFillTx/>
              <a:latin typeface="+mn-lt"/>
              <a:ea typeface="+mn-ea"/>
              <a:cs typeface="+mn-cs"/>
            </a:rPr>
            <a:t>Some fertilizer bags or spreaders come with instructions for calibration. Use the instructions provided to appropriately calibrate your spreader. If instructions are not included, please consult Virginia Cooperative Extension for help, or use one of the following options: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1" i="1" u="none" strike="noStrike" kern="0" cap="none" spc="0" normalizeH="0" baseline="0" noProof="0">
            <a:ln>
              <a:noFill/>
            </a:ln>
            <a:solidFill>
              <a:prstClr val="black"/>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50" b="1" i="0" u="none" strike="noStrike" kern="0" cap="none" spc="0" normalizeH="0" baseline="0" noProof="0">
              <a:ln>
                <a:noFill/>
              </a:ln>
              <a:solidFill>
                <a:prstClr val="black"/>
              </a:solidFill>
              <a:effectLst/>
              <a:uLnTx/>
              <a:uFillTx/>
              <a:latin typeface="+mn-lt"/>
              <a:ea typeface="+mn-ea"/>
              <a:cs typeface="+mn-cs"/>
            </a:rPr>
            <a:t>Option 1: </a:t>
          </a:r>
          <a:r>
            <a:rPr kumimoji="0" lang="en-US" sz="1150" b="0" i="0" u="none" strike="noStrike" kern="0" cap="none" spc="0" normalizeH="0" baseline="0" noProof="0">
              <a:ln>
                <a:noFill/>
              </a:ln>
              <a:solidFill>
                <a:prstClr val="black"/>
              </a:solidFill>
              <a:effectLst/>
              <a:uLnTx/>
              <a:uFillTx/>
              <a:latin typeface="+mn-lt"/>
              <a:ea typeface="+mn-ea"/>
              <a:cs typeface="+mn-cs"/>
            </a:rPr>
            <a:t>If you are applying to a small area (or if you don't mind a lot of walking on a larger area) there is no need to calibrate your spreader. Add the </a:t>
          </a:r>
          <a:r>
            <a:rPr kumimoji="0" lang="en-US" sz="1150" b="1" i="0" u="none" strike="noStrike" kern="0" cap="none" spc="0" normalizeH="0" baseline="0" noProof="0">
              <a:ln>
                <a:noFill/>
              </a:ln>
              <a:solidFill>
                <a:prstClr val="black"/>
              </a:solidFill>
              <a:effectLst/>
              <a:uLnTx/>
              <a:uFillTx/>
              <a:latin typeface="+mn-lt"/>
              <a:ea typeface="+mn-ea"/>
              <a:cs typeface="+mn-cs"/>
            </a:rPr>
            <a:t>per-application </a:t>
          </a:r>
          <a:r>
            <a:rPr kumimoji="0" lang="en-US" sz="1150" b="0" i="0" u="none" strike="noStrike" kern="0" cap="none" spc="0" normalizeH="0" baseline="0" noProof="0">
              <a:ln>
                <a:noFill/>
              </a:ln>
              <a:solidFill>
                <a:prstClr val="black"/>
              </a:solidFill>
              <a:effectLst/>
              <a:uLnTx/>
              <a:uFillTx/>
              <a:latin typeface="+mn-lt"/>
              <a:ea typeface="+mn-ea"/>
              <a:cs typeface="+mn-cs"/>
            </a:rPr>
            <a:t>amount of fertilizer or lime from the calculator to the spreader, and put the spreader on the lowest setting possible (as long as the material can still dispense through the opening properly). If the per-application amount of fertilizer will not fit in your spreader, you might have to split the application and go over the area twice or more. Walk back and forth across the lawn in a checkerboard pattern until the spreader is empty.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150" b="1" i="0" u="none" strike="noStrike" kern="0" cap="none" spc="0" normalizeH="0" baseline="0" noProof="0">
              <a:ln>
                <a:noFill/>
              </a:ln>
              <a:solidFill>
                <a:prstClr val="black"/>
              </a:solidFill>
              <a:effectLst/>
              <a:uLnTx/>
              <a:uFillTx/>
              <a:latin typeface="+mn-lt"/>
              <a:ea typeface="+mn-ea"/>
              <a:cs typeface="+mn-cs"/>
            </a:rPr>
            <a:t>Option 2: </a:t>
          </a:r>
          <a:r>
            <a:rPr kumimoji="0" lang="en-US" sz="1150" b="0" i="0" u="none" strike="noStrike" kern="0" cap="none" spc="0" normalizeH="0" baseline="0" noProof="0">
              <a:ln>
                <a:noFill/>
              </a:ln>
              <a:solidFill>
                <a:prstClr val="black"/>
              </a:solidFill>
              <a:effectLst/>
              <a:uLnTx/>
              <a:uFillTx/>
              <a:latin typeface="+mn-lt"/>
              <a:ea typeface="+mn-ea"/>
              <a:cs typeface="+mn-cs"/>
            </a:rPr>
            <a:t>If you are applying to a large area, you will need to calibrate your spreader. Consider applying fertilizer in two different directions (the checkerboard pattern described in Option 1) for even coverage. Refer to "Calibrating Your Lawn Spreader," Virginia Cooperative Extension publication 430-017 for help. It is available at https://pubs.ext.vt.edu/430/430-017/430-017.html.</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50" b="0" i="0" u="none" strike="noStrike" kern="0" cap="none" spc="0" normalizeH="0" baseline="0" noProof="0">
              <a:ln>
                <a:noFill/>
              </a:ln>
              <a:solidFill>
                <a:prstClr val="black"/>
              </a:solidFill>
              <a:effectLst/>
              <a:uLnTx/>
              <a:uFillTx/>
              <a:latin typeface="+mn-lt"/>
              <a:ea typeface="+mn-ea"/>
              <a:cs typeface="+mn-cs"/>
            </a:rPr>
            <a:t>Chantel Wilson, Assistant Professor and 4-H STEAM Extension Specialist,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50" b="0" i="0" u="none" strike="noStrike" kern="0" cap="none" spc="0" normalizeH="0" baseline="0" noProof="0">
              <a:ln>
                <a:noFill/>
              </a:ln>
              <a:solidFill>
                <a:prstClr val="black"/>
              </a:solidFill>
              <a:effectLst/>
              <a:uLnTx/>
              <a:uFillTx/>
              <a:latin typeface="+mn-lt"/>
              <a:ea typeface="+mn-ea"/>
              <a:cs typeface="+mn-cs"/>
            </a:rPr>
            <a:t>College of Agriculture, Virginia State University</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5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50" b="0" i="0" u="none" strike="noStrike" kern="0" cap="none" spc="0" normalizeH="0" baseline="0" noProof="0">
              <a:ln>
                <a:noFill/>
              </a:ln>
              <a:solidFill>
                <a:prstClr val="black"/>
              </a:solidFill>
              <a:effectLst/>
              <a:uLnTx/>
              <a:uFillTx/>
              <a:latin typeface="+mn-lt"/>
              <a:ea typeface="+mn-ea"/>
              <a:cs typeface="+mn-cs"/>
            </a:rPr>
            <a:t>Michael Goatley Jr., Professor and Extension Specialist,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50" b="0" i="0" u="none" strike="noStrike" kern="0" cap="none" spc="0" normalizeH="0" baseline="0" noProof="0">
              <a:ln>
                <a:noFill/>
              </a:ln>
              <a:solidFill>
                <a:prstClr val="black"/>
              </a:solidFill>
              <a:effectLst/>
              <a:uLnTx/>
              <a:uFillTx/>
              <a:latin typeface="+mn-lt"/>
              <a:ea typeface="+mn-ea"/>
              <a:cs typeface="+mn-cs"/>
            </a:rPr>
            <a:t>School of Plant and Environmental Sciences, Virginia Tech</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50" b="1">
            <a:solidFill>
              <a:schemeClr val="tx1"/>
            </a:solidFill>
          </a:endParaRPr>
        </a:p>
      </xdr:txBody>
    </xdr:sp>
    <xdr:clientData/>
  </xdr:twoCellAnchor>
  <xdr:twoCellAnchor editAs="oneCell">
    <xdr:from>
      <xdr:col>3</xdr:col>
      <xdr:colOff>0</xdr:colOff>
      <xdr:row>2</xdr:row>
      <xdr:rowOff>0</xdr:rowOff>
    </xdr:from>
    <xdr:to>
      <xdr:col>15</xdr:col>
      <xdr:colOff>505968</xdr:colOff>
      <xdr:row>6</xdr:row>
      <xdr:rowOff>21336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3550" y="381000"/>
          <a:ext cx="7592568" cy="783336"/>
        </a:xfrm>
        <a:prstGeom prst="rect">
          <a:avLst/>
        </a:prstGeom>
      </xdr:spPr>
    </xdr:pic>
    <xdr:clientData/>
  </xdr:twoCellAnchor>
  <xdr:twoCellAnchor editAs="oneCell">
    <xdr:from>
      <xdr:col>1</xdr:col>
      <xdr:colOff>407670</xdr:colOff>
      <xdr:row>137</xdr:row>
      <xdr:rowOff>154000</xdr:rowOff>
    </xdr:from>
    <xdr:to>
      <xdr:col>17</xdr:col>
      <xdr:colOff>83820</xdr:colOff>
      <xdr:row>140</xdr:row>
      <xdr:rowOff>50520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7270" y="25208560"/>
          <a:ext cx="9391650" cy="445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55"/>
  <sheetViews>
    <sheetView showGridLines="0" tabSelected="1" zoomScaleNormal="100" zoomScalePageLayoutView="175" workbookViewId="0">
      <selection activeCell="A55" sqref="A55"/>
    </sheetView>
  </sheetViews>
  <sheetFormatPr baseColWidth="10" defaultColWidth="8.83203125" defaultRowHeight="15" x14ac:dyDescent="0.2"/>
  <cols>
    <col min="2" max="2" width="8.33203125" customWidth="1"/>
  </cols>
  <sheetData>
    <row r="55" spans="1:1" x14ac:dyDescent="0.2">
      <c r="A55" s="18"/>
    </row>
  </sheetData>
  <sheetProtection algorithmName="SHA-512" hashValue="fGNP9k/ZXxp2vRlZSPHU2W5mKV4yvHAXOMrneV8zxDM9FibxdA9zHabBe9a7BJ7TbavgtD7VwUpvrOTqui8lBA==" saltValue="jh1RVw++7+LlglarPP7Izw==" spinCount="100000" sheet="1" objects="1" scenarios="1"/>
  <customSheetViews>
    <customSheetView guid="{D920D7F4-8119-6443-BB94-D0BB6CD1A76A}" scale="150" showGridLines="0" topLeftCell="B1">
      <selection activeCell="A11" sqref="A11"/>
      <pageMargins left="0.7" right="0.7" top="0.75" bottom="0.75" header="0.3" footer="0.3"/>
      <pageSetup orientation="portrait" horizontalDpi="4294967292" verticalDpi="4294967292"/>
    </customSheetView>
  </customSheetView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Q51"/>
  <sheetViews>
    <sheetView showGridLines="0" zoomScale="85" zoomScaleNormal="85" zoomScalePageLayoutView="200" workbookViewId="0">
      <selection activeCell="C4" sqref="C4"/>
    </sheetView>
  </sheetViews>
  <sheetFormatPr baseColWidth="10" defaultColWidth="8.83203125" defaultRowHeight="15" x14ac:dyDescent="0.2"/>
  <cols>
    <col min="1" max="1" width="3.6640625" style="1" customWidth="1"/>
    <col min="2" max="2" width="47" customWidth="1"/>
    <col min="3" max="5" width="13.6640625" customWidth="1"/>
    <col min="6" max="6" width="1.5" style="18" customWidth="1"/>
    <col min="7" max="7" width="25.5" customWidth="1"/>
    <col min="8" max="8" width="30" customWidth="1"/>
    <col min="9" max="9" width="25.5" customWidth="1"/>
    <col min="11" max="11" width="12.83203125" hidden="1" customWidth="1"/>
    <col min="12" max="17" width="9.1640625" hidden="1" customWidth="1"/>
  </cols>
  <sheetData>
    <row r="1" spans="1:16" x14ac:dyDescent="0.2">
      <c r="B1" s="63" t="s">
        <v>36</v>
      </c>
      <c r="C1" s="56"/>
      <c r="G1" s="55" t="s">
        <v>19</v>
      </c>
      <c r="H1" s="56"/>
    </row>
    <row r="2" spans="1:16" ht="3.75" customHeight="1" thickBot="1" x14ac:dyDescent="0.25">
      <c r="B2" s="63"/>
      <c r="C2" s="56"/>
      <c r="K2" t="s">
        <v>29</v>
      </c>
    </row>
    <row r="3" spans="1:16" ht="21.75" customHeight="1" thickBot="1" x14ac:dyDescent="0.25">
      <c r="B3" s="15"/>
      <c r="C3" s="14" t="s">
        <v>41</v>
      </c>
      <c r="D3" s="1"/>
      <c r="E3" s="1"/>
      <c r="F3" s="19"/>
      <c r="G3" s="57" t="s">
        <v>20</v>
      </c>
      <c r="H3" s="58"/>
      <c r="I3" s="77">
        <f>ROUNDUP((C6/0.7),0)</f>
        <v>0</v>
      </c>
      <c r="K3" s="7">
        <f>(C4/1000)</f>
        <v>0</v>
      </c>
    </row>
    <row r="4" spans="1:16" ht="31.5" customHeight="1" thickBot="1" x14ac:dyDescent="0.25">
      <c r="A4" s="27">
        <v>1</v>
      </c>
      <c r="B4" s="4" t="s">
        <v>0</v>
      </c>
      <c r="C4" s="29"/>
      <c r="G4" s="59" t="s">
        <v>114</v>
      </c>
      <c r="H4" s="85"/>
      <c r="I4" s="79"/>
      <c r="K4" t="s">
        <v>25</v>
      </c>
      <c r="M4" t="s">
        <v>31</v>
      </c>
      <c r="O4" t="s">
        <v>4</v>
      </c>
      <c r="P4" t="s">
        <v>16</v>
      </c>
    </row>
    <row r="5" spans="1:16" ht="9" customHeight="1" thickBot="1" x14ac:dyDescent="0.25">
      <c r="A5" s="27"/>
      <c r="D5" s="2"/>
      <c r="E5" s="2"/>
      <c r="F5" s="20"/>
      <c r="K5" s="7" t="e">
        <f>ROUND((C6/I3),1)</f>
        <v>#DIV/0!</v>
      </c>
      <c r="M5" s="7" t="e">
        <f>(K5/L10)</f>
        <v>#DIV/0!</v>
      </c>
      <c r="O5" t="s">
        <v>5</v>
      </c>
      <c r="P5" t="s">
        <v>16</v>
      </c>
    </row>
    <row r="6" spans="1:16" ht="32" x14ac:dyDescent="0.2">
      <c r="A6" s="27">
        <v>2</v>
      </c>
      <c r="B6" s="8" t="s">
        <v>112</v>
      </c>
      <c r="C6" s="82"/>
      <c r="D6" s="64" t="str">
        <f>IF(C6&gt;3.5, "Nitrogen amount is too high. Please lower", "Nitrogen amount is OK")</f>
        <v>Nitrogen amount is OK</v>
      </c>
      <c r="E6" s="65"/>
      <c r="F6" s="21"/>
      <c r="G6" s="57" t="s">
        <v>21</v>
      </c>
      <c r="H6" s="58"/>
      <c r="I6" s="80" t="e">
        <f>VLOOKUP($I$3,$O$26:$P$30,2)</f>
        <v>#N/A</v>
      </c>
      <c r="L6" t="s">
        <v>42</v>
      </c>
      <c r="M6" s="7" t="e">
        <f>((L16*K3)/L10)</f>
        <v>#DIV/0!</v>
      </c>
      <c r="O6" t="s">
        <v>6</v>
      </c>
      <c r="P6" t="s">
        <v>16</v>
      </c>
    </row>
    <row r="7" spans="1:16" ht="106" thickBot="1" x14ac:dyDescent="0.25">
      <c r="A7" s="27"/>
      <c r="B7" s="5" t="s">
        <v>121</v>
      </c>
      <c r="C7" s="83"/>
      <c r="D7" s="66"/>
      <c r="E7" s="67"/>
      <c r="F7" s="21"/>
      <c r="G7" s="59" t="s">
        <v>91</v>
      </c>
      <c r="H7" s="86"/>
      <c r="I7" s="81"/>
      <c r="K7" s="10"/>
      <c r="O7" t="s">
        <v>7</v>
      </c>
      <c r="P7" t="s">
        <v>17</v>
      </c>
    </row>
    <row r="8" spans="1:16" ht="9" customHeight="1" thickBot="1" x14ac:dyDescent="0.25">
      <c r="A8" s="27"/>
      <c r="C8" s="1"/>
      <c r="O8" t="s">
        <v>8</v>
      </c>
      <c r="P8" t="s">
        <v>17</v>
      </c>
    </row>
    <row r="9" spans="1:16" ht="32" x14ac:dyDescent="0.2">
      <c r="A9" s="27">
        <v>3</v>
      </c>
      <c r="B9" s="8" t="s">
        <v>1</v>
      </c>
      <c r="C9" s="82"/>
      <c r="D9" s="64" t="e">
        <f>VLOOKUP(C9,$O$4:$P$13,2, FALSE)</f>
        <v>#N/A</v>
      </c>
      <c r="E9" s="65"/>
      <c r="F9" s="21"/>
      <c r="G9" s="57" t="s">
        <v>92</v>
      </c>
      <c r="H9" s="58"/>
      <c r="I9" s="77" t="e">
        <f>ROUNDUP(M6,1)</f>
        <v>#DIV/0!</v>
      </c>
      <c r="K9" t="s">
        <v>30</v>
      </c>
      <c r="L9" t="s">
        <v>26</v>
      </c>
      <c r="M9" t="s">
        <v>27</v>
      </c>
      <c r="N9" t="s">
        <v>28</v>
      </c>
      <c r="O9" t="s">
        <v>9</v>
      </c>
      <c r="P9" t="s">
        <v>17</v>
      </c>
    </row>
    <row r="10" spans="1:16" ht="45.75" customHeight="1" thickBot="1" x14ac:dyDescent="0.25">
      <c r="A10" s="27"/>
      <c r="B10" s="6" t="s">
        <v>2</v>
      </c>
      <c r="C10" s="83"/>
      <c r="D10" s="66"/>
      <c r="E10" s="67"/>
      <c r="F10" s="21"/>
      <c r="G10" s="59" t="s">
        <v>93</v>
      </c>
      <c r="H10" s="60"/>
      <c r="I10" s="78"/>
      <c r="L10" s="7">
        <f>(C16/100)</f>
        <v>0</v>
      </c>
      <c r="M10" s="7">
        <f>(D16/100)</f>
        <v>0</v>
      </c>
      <c r="N10" s="7">
        <f>(E16/100)</f>
        <v>0</v>
      </c>
      <c r="O10" t="s">
        <v>10</v>
      </c>
      <c r="P10" t="s">
        <v>18</v>
      </c>
    </row>
    <row r="11" spans="1:16" ht="9" customHeight="1" thickBot="1" x14ac:dyDescent="0.25">
      <c r="A11" s="27"/>
      <c r="O11" t="s">
        <v>11</v>
      </c>
      <c r="P11" t="s">
        <v>18</v>
      </c>
    </row>
    <row r="12" spans="1:16" ht="32" x14ac:dyDescent="0.2">
      <c r="A12" s="27">
        <v>4</v>
      </c>
      <c r="B12" s="13" t="s">
        <v>3</v>
      </c>
      <c r="C12" s="82"/>
      <c r="D12" s="64" t="e">
        <f>VLOOKUP(C12,$O$15:$P$24,2,FALSE)</f>
        <v>#N/A</v>
      </c>
      <c r="E12" s="65"/>
      <c r="F12" s="21"/>
      <c r="G12" s="57" t="s">
        <v>94</v>
      </c>
      <c r="H12" s="61"/>
      <c r="I12" s="77" t="e">
        <f>ROUND((I9*I3),1)</f>
        <v>#DIV/0!</v>
      </c>
      <c r="K12" t="s">
        <v>32</v>
      </c>
      <c r="L12" t="s">
        <v>27</v>
      </c>
      <c r="M12" t="s">
        <v>28</v>
      </c>
      <c r="O12" t="s">
        <v>12</v>
      </c>
      <c r="P12" t="s">
        <v>18</v>
      </c>
    </row>
    <row r="13" spans="1:16" ht="33" customHeight="1" thickBot="1" x14ac:dyDescent="0.25">
      <c r="A13" s="27"/>
      <c r="B13" s="6" t="s">
        <v>2</v>
      </c>
      <c r="C13" s="84"/>
      <c r="D13" s="66"/>
      <c r="E13" s="67"/>
      <c r="F13" s="21"/>
      <c r="G13" s="59" t="s">
        <v>95</v>
      </c>
      <c r="H13" s="62"/>
      <c r="I13" s="78"/>
      <c r="L13" s="7" t="e">
        <f>VLOOKUP(C9,$O$32:$P$41, 2, FALSE)</f>
        <v>#N/A</v>
      </c>
      <c r="M13" s="7" t="e">
        <f>VLOOKUP(C12,$O$32:$P$41, 2, FALSE)</f>
        <v>#N/A</v>
      </c>
      <c r="O13" t="s">
        <v>13</v>
      </c>
      <c r="P13" t="s">
        <v>18</v>
      </c>
    </row>
    <row r="14" spans="1:16" ht="9" customHeight="1" thickBot="1" x14ac:dyDescent="0.25">
      <c r="A14" s="27"/>
    </row>
    <row r="15" spans="1:16" ht="29.25" customHeight="1" x14ac:dyDescent="0.2">
      <c r="A15" s="27">
        <v>5</v>
      </c>
      <c r="B15" s="13" t="s">
        <v>49</v>
      </c>
      <c r="C15" s="50" t="s">
        <v>26</v>
      </c>
      <c r="D15" s="11" t="s">
        <v>27</v>
      </c>
      <c r="E15" s="17" t="s">
        <v>28</v>
      </c>
      <c r="F15" s="16"/>
      <c r="G15" s="57" t="s">
        <v>122</v>
      </c>
      <c r="H15" s="58"/>
      <c r="I15" s="77" t="e">
        <f>ROUNDUP((I12/C20),0)</f>
        <v>#DIV/0!</v>
      </c>
      <c r="K15" t="s">
        <v>33</v>
      </c>
      <c r="L15" t="s">
        <v>26</v>
      </c>
      <c r="M15" t="s">
        <v>27</v>
      </c>
      <c r="N15" t="s">
        <v>28</v>
      </c>
      <c r="O15" t="s">
        <v>4</v>
      </c>
      <c r="P15" t="s">
        <v>14</v>
      </c>
    </row>
    <row r="16" spans="1:16" ht="63.75" customHeight="1" thickBot="1" x14ac:dyDescent="0.25">
      <c r="A16" s="27"/>
      <c r="B16" s="68" t="s">
        <v>90</v>
      </c>
      <c r="C16" s="92"/>
      <c r="D16" s="71"/>
      <c r="E16" s="73"/>
      <c r="F16" s="16"/>
      <c r="G16" s="59" t="s">
        <v>96</v>
      </c>
      <c r="H16" s="60"/>
      <c r="I16" s="79"/>
      <c r="L16" s="7" t="e">
        <f>(M5*L10)</f>
        <v>#DIV/0!</v>
      </c>
      <c r="M16" s="7" t="e">
        <f>(M5*M10)</f>
        <v>#DIV/0!</v>
      </c>
      <c r="N16" s="7" t="e">
        <f>(M5*N10)</f>
        <v>#DIV/0!</v>
      </c>
      <c r="O16" t="s">
        <v>5</v>
      </c>
      <c r="P16" t="s">
        <v>14</v>
      </c>
    </row>
    <row r="17" spans="1:16" ht="9" customHeight="1" thickBot="1" x14ac:dyDescent="0.25">
      <c r="A17" s="27"/>
      <c r="B17" s="69"/>
      <c r="C17" s="93"/>
      <c r="D17" s="72"/>
      <c r="E17" s="74"/>
      <c r="F17" s="16"/>
      <c r="G17" s="3"/>
      <c r="H17" s="3"/>
      <c r="K17" t="s">
        <v>34</v>
      </c>
      <c r="L17" s="7" t="e">
        <f>(L16*I3)</f>
        <v>#DIV/0!</v>
      </c>
      <c r="M17" s="7" t="e">
        <f>(M16*I3)</f>
        <v>#DIV/0!</v>
      </c>
      <c r="N17" s="7" t="e">
        <f>(N16*I3)</f>
        <v>#DIV/0!</v>
      </c>
      <c r="O17" t="s">
        <v>6</v>
      </c>
      <c r="P17" t="s">
        <v>14</v>
      </c>
    </row>
    <row r="18" spans="1:16" ht="69" customHeight="1" thickBot="1" x14ac:dyDescent="0.25">
      <c r="A18" s="27"/>
      <c r="B18" s="70"/>
      <c r="C18" s="51" t="e">
        <f>IF(M17&gt;L13, "P amount is too high. Choose a fertilizer with a lower P content", "")</f>
        <v>#DIV/0!</v>
      </c>
      <c r="D18" s="52" t="e">
        <f t="array" ref="D18">INDEX($Q$44:$Q$46, MATCH(C9, IF($P$44:$P$46=D16,$O$44:$O$46),0))</f>
        <v>#N/A</v>
      </c>
      <c r="E18" s="53" t="e">
        <f t="array" ref="E18">INDEX($Q$49:$Q$51, MATCH(C12, IF($P$49:$P$51=E16,$O$49:$O$51),0))</f>
        <v>#N/A</v>
      </c>
      <c r="F18" s="16"/>
      <c r="G18" s="54" t="s">
        <v>89</v>
      </c>
      <c r="O18" t="s">
        <v>7</v>
      </c>
      <c r="P18" t="s">
        <v>15</v>
      </c>
    </row>
    <row r="19" spans="1:16" ht="9" customHeight="1" thickBot="1" x14ac:dyDescent="0.25">
      <c r="A19" s="28"/>
      <c r="O19" t="s">
        <v>8</v>
      </c>
      <c r="P19" t="s">
        <v>15</v>
      </c>
    </row>
    <row r="20" spans="1:16" ht="16" x14ac:dyDescent="0.2">
      <c r="A20" s="27">
        <v>6</v>
      </c>
      <c r="B20" s="12" t="s">
        <v>35</v>
      </c>
      <c r="C20" s="75"/>
      <c r="G20" s="87" t="s">
        <v>39</v>
      </c>
      <c r="H20" s="88"/>
      <c r="I20" s="89"/>
      <c r="O20" t="s">
        <v>9</v>
      </c>
      <c r="P20" t="s">
        <v>15</v>
      </c>
    </row>
    <row r="21" spans="1:16" ht="39" customHeight="1" thickBot="1" x14ac:dyDescent="0.25">
      <c r="B21" s="9" t="s">
        <v>113</v>
      </c>
      <c r="C21" s="76"/>
      <c r="G21" s="68" t="s">
        <v>101</v>
      </c>
      <c r="H21" s="90"/>
      <c r="I21" s="91"/>
      <c r="O21" t="s">
        <v>10</v>
      </c>
      <c r="P21" t="s">
        <v>15</v>
      </c>
    </row>
    <row r="22" spans="1:16" ht="16" x14ac:dyDescent="0.2">
      <c r="G22" s="22" t="s">
        <v>37</v>
      </c>
      <c r="H22" s="23" t="s">
        <v>38</v>
      </c>
      <c r="I22" s="24" t="s">
        <v>40</v>
      </c>
      <c r="O22" t="s">
        <v>11</v>
      </c>
      <c r="P22" t="s">
        <v>15</v>
      </c>
    </row>
    <row r="23" spans="1:16" ht="16" thickBot="1" x14ac:dyDescent="0.25">
      <c r="A23" s="2"/>
      <c r="G23" s="30"/>
      <c r="H23" s="25" t="e">
        <f>(I12-G23)</f>
        <v>#DIV/0!</v>
      </c>
      <c r="I23" s="26" t="e">
        <f>IF(H23&lt;0, "None", ROUNDUP((H23/C20),0))</f>
        <v>#DIV/0!</v>
      </c>
      <c r="O23" t="s">
        <v>12</v>
      </c>
      <c r="P23" t="s">
        <v>15</v>
      </c>
    </row>
    <row r="24" spans="1:16" x14ac:dyDescent="0.2">
      <c r="O24" t="s">
        <v>13</v>
      </c>
      <c r="P24" t="s">
        <v>15</v>
      </c>
    </row>
    <row r="26" spans="1:16" x14ac:dyDescent="0.2">
      <c r="O26">
        <v>1</v>
      </c>
      <c r="P26" t="s">
        <v>22</v>
      </c>
    </row>
    <row r="27" spans="1:16" x14ac:dyDescent="0.2">
      <c r="O27">
        <v>2</v>
      </c>
      <c r="P27" t="s">
        <v>23</v>
      </c>
    </row>
    <row r="28" spans="1:16" x14ac:dyDescent="0.2">
      <c r="O28">
        <v>3</v>
      </c>
      <c r="P28" t="s">
        <v>24</v>
      </c>
    </row>
    <row r="29" spans="1:16" x14ac:dyDescent="0.2">
      <c r="O29">
        <v>4</v>
      </c>
      <c r="P29" t="s">
        <v>50</v>
      </c>
    </row>
    <row r="30" spans="1:16" x14ac:dyDescent="0.2">
      <c r="O30">
        <v>5</v>
      </c>
      <c r="P30" t="s">
        <v>51</v>
      </c>
    </row>
    <row r="32" spans="1:16" x14ac:dyDescent="0.2">
      <c r="O32" t="s">
        <v>4</v>
      </c>
      <c r="P32">
        <v>3</v>
      </c>
    </row>
    <row r="33" spans="15:17" x14ac:dyDescent="0.2">
      <c r="O33" t="s">
        <v>5</v>
      </c>
      <c r="P33">
        <v>2.5</v>
      </c>
    </row>
    <row r="34" spans="15:17" x14ac:dyDescent="0.2">
      <c r="O34" t="s">
        <v>6</v>
      </c>
      <c r="P34">
        <v>2</v>
      </c>
    </row>
    <row r="35" spans="15:17" x14ac:dyDescent="0.2">
      <c r="O35" t="s">
        <v>7</v>
      </c>
      <c r="P35">
        <v>2</v>
      </c>
    </row>
    <row r="36" spans="15:17" x14ac:dyDescent="0.2">
      <c r="O36" t="s">
        <v>8</v>
      </c>
      <c r="P36">
        <v>1.5</v>
      </c>
    </row>
    <row r="37" spans="15:17" x14ac:dyDescent="0.2">
      <c r="O37" t="s">
        <v>9</v>
      </c>
      <c r="P37">
        <v>1</v>
      </c>
    </row>
    <row r="38" spans="15:17" x14ac:dyDescent="0.2">
      <c r="O38" t="s">
        <v>10</v>
      </c>
      <c r="P38">
        <v>1</v>
      </c>
    </row>
    <row r="39" spans="15:17" x14ac:dyDescent="0.2">
      <c r="O39" t="s">
        <v>11</v>
      </c>
      <c r="P39">
        <v>0.75</v>
      </c>
    </row>
    <row r="40" spans="15:17" x14ac:dyDescent="0.2">
      <c r="O40" t="s">
        <v>12</v>
      </c>
      <c r="P40">
        <v>0.5</v>
      </c>
    </row>
    <row r="41" spans="15:17" x14ac:dyDescent="0.2">
      <c r="O41" t="s">
        <v>13</v>
      </c>
      <c r="P41">
        <v>0</v>
      </c>
    </row>
    <row r="43" spans="15:17" x14ac:dyDescent="0.2">
      <c r="O43" t="s">
        <v>81</v>
      </c>
      <c r="P43" t="s">
        <v>82</v>
      </c>
      <c r="Q43" t="s">
        <v>83</v>
      </c>
    </row>
    <row r="44" spans="15:17" x14ac:dyDescent="0.2">
      <c r="O44" t="s">
        <v>84</v>
      </c>
      <c r="P44">
        <v>0</v>
      </c>
      <c r="Q44" t="s">
        <v>85</v>
      </c>
    </row>
    <row r="45" spans="15:17" x14ac:dyDescent="0.2">
      <c r="O45" t="s">
        <v>80</v>
      </c>
      <c r="P45">
        <v>0</v>
      </c>
      <c r="Q45" t="s">
        <v>85</v>
      </c>
    </row>
    <row r="46" spans="15:17" x14ac:dyDescent="0.2">
      <c r="O46" t="s">
        <v>79</v>
      </c>
      <c r="P46">
        <v>0</v>
      </c>
      <c r="Q46" t="s">
        <v>85</v>
      </c>
    </row>
    <row r="48" spans="15:17" x14ac:dyDescent="0.2">
      <c r="O48" t="s">
        <v>86</v>
      </c>
      <c r="P48" t="s">
        <v>82</v>
      </c>
      <c r="Q48" t="s">
        <v>83</v>
      </c>
    </row>
    <row r="49" spans="15:17" x14ac:dyDescent="0.2">
      <c r="O49" t="s">
        <v>84</v>
      </c>
      <c r="P49">
        <v>0</v>
      </c>
      <c r="Q49" t="s">
        <v>87</v>
      </c>
    </row>
    <row r="50" spans="15:17" x14ac:dyDescent="0.2">
      <c r="O50" t="s">
        <v>80</v>
      </c>
      <c r="P50">
        <v>0</v>
      </c>
      <c r="Q50" t="s">
        <v>87</v>
      </c>
    </row>
    <row r="51" spans="15:17" x14ac:dyDescent="0.2">
      <c r="O51" t="s">
        <v>79</v>
      </c>
      <c r="P51">
        <v>0</v>
      </c>
      <c r="Q51" t="s">
        <v>87</v>
      </c>
    </row>
  </sheetData>
  <sheetProtection algorithmName="SHA-512" hashValue="prHCZWCpqo1WCneA9cksCINZr1WfoktPzgzZQpixZA7En0zxKUQsrQ1mXSTA1YDsXOntYAwMbBavpMel13cf8Q==" saltValue="YrKnuNzCA8rdpMd0ExmH3g==" spinCount="100000" sheet="1" objects="1" scenarios="1"/>
  <customSheetViews>
    <customSheetView guid="{D920D7F4-8119-6443-BB94-D0BB6CD1A76A}" scale="200" showGridLines="0" hiddenColumns="1" topLeftCell="A8">
      <selection activeCell="G4" sqref="G4:H4"/>
      <pageMargins left="0.7" right="0.7" top="0.75" bottom="0.75" header="0.3" footer="0.3"/>
      <pageSetup orientation="portrait"/>
    </customSheetView>
  </customSheetViews>
  <mergeCells count="30">
    <mergeCell ref="C20:C21"/>
    <mergeCell ref="I9:I10"/>
    <mergeCell ref="I15:I16"/>
    <mergeCell ref="I3:I4"/>
    <mergeCell ref="I6:I7"/>
    <mergeCell ref="C6:C7"/>
    <mergeCell ref="C9:C10"/>
    <mergeCell ref="C12:C13"/>
    <mergeCell ref="G3:H3"/>
    <mergeCell ref="G4:H4"/>
    <mergeCell ref="G6:H6"/>
    <mergeCell ref="G7:H7"/>
    <mergeCell ref="I12:I13"/>
    <mergeCell ref="G20:I20"/>
    <mergeCell ref="G21:I21"/>
    <mergeCell ref="C16:C17"/>
    <mergeCell ref="B1:C2"/>
    <mergeCell ref="D6:E7"/>
    <mergeCell ref="D9:E10"/>
    <mergeCell ref="D12:E13"/>
    <mergeCell ref="B16:B18"/>
    <mergeCell ref="D16:D17"/>
    <mergeCell ref="E16:E17"/>
    <mergeCell ref="G1:H1"/>
    <mergeCell ref="G9:H9"/>
    <mergeCell ref="G10:H10"/>
    <mergeCell ref="G15:H15"/>
    <mergeCell ref="G16:H16"/>
    <mergeCell ref="G12:H12"/>
    <mergeCell ref="G13:H13"/>
  </mergeCells>
  <conditionalFormatting sqref="D6:D7 F6:F7">
    <cfRule type="expression" dxfId="71" priority="39" stopIfTrue="1">
      <formula>$A$7=$C$6</formula>
    </cfRule>
    <cfRule type="containsText" dxfId="70" priority="41" operator="containsText" text="OK">
      <formula>NOT(ISERROR(SEARCH("OK",D6)))</formula>
    </cfRule>
    <cfRule type="containsText" dxfId="69" priority="42" operator="containsText" text="lower">
      <formula>NOT(ISERROR(SEARCH("lower",D6)))</formula>
    </cfRule>
  </conditionalFormatting>
  <conditionalFormatting sqref="D9:D10 F9:F10">
    <cfRule type="containsText" dxfId="68" priority="35" operator="containsText" text="may">
      <formula>NOT(ISERROR(SEARCH("may",D9)))</formula>
    </cfRule>
    <cfRule type="containsText" dxfId="67" priority="36" operator="containsText" text="with">
      <formula>NOT(ISERROR(SEARCH("with",D9)))</formula>
    </cfRule>
    <cfRule type="containsText" dxfId="66" priority="37" operator="containsText" text="Zero">
      <formula>NOT(ISERROR(SEARCH("Zero",D9)))</formula>
    </cfRule>
    <cfRule type="expression" dxfId="65" priority="38">
      <formula>$A$10=$C$9</formula>
    </cfRule>
  </conditionalFormatting>
  <conditionalFormatting sqref="D12:D13 F12:F13">
    <cfRule type="expression" dxfId="64" priority="31">
      <formula>$A$13=$C$12</formula>
    </cfRule>
    <cfRule type="containsText" dxfId="63" priority="32" operator="containsText" text="may">
      <formula>NOT(ISERROR(SEARCH("may",D12)))</formula>
    </cfRule>
    <cfRule type="containsText" dxfId="62" priority="33" operator="containsText" text="with">
      <formula>NOT(ISERROR(SEARCH("with",D12)))</formula>
    </cfRule>
    <cfRule type="containsText" dxfId="61" priority="34" operator="containsText" text="Zero">
      <formula>NOT(ISERROR(SEARCH("Zero",D12)))</formula>
    </cfRule>
  </conditionalFormatting>
  <conditionalFormatting sqref="I3:I4">
    <cfRule type="expression" dxfId="60" priority="18">
      <formula>$C$6&gt;3.5</formula>
    </cfRule>
    <cfRule type="expression" dxfId="59" priority="30">
      <formula>$A$7=$C$6</formula>
    </cfRule>
  </conditionalFormatting>
  <conditionalFormatting sqref="I6:I7">
    <cfRule type="expression" dxfId="58" priority="19">
      <formula>$C$6&gt;3.5</formula>
    </cfRule>
    <cfRule type="expression" dxfId="57" priority="29">
      <formula>$A$7=$C$6</formula>
    </cfRule>
  </conditionalFormatting>
  <conditionalFormatting sqref="H23">
    <cfRule type="expression" dxfId="56" priority="23">
      <formula>$F$21=$G$23</formula>
    </cfRule>
  </conditionalFormatting>
  <conditionalFormatting sqref="I23">
    <cfRule type="expression" dxfId="55" priority="21">
      <formula>$F$21=$G$23</formula>
    </cfRule>
  </conditionalFormatting>
  <conditionalFormatting sqref="D16">
    <cfRule type="expression" dxfId="54" priority="12">
      <formula>$C$9="l-"</formula>
    </cfRule>
    <cfRule type="expression" dxfId="53" priority="13">
      <formula>$C$9="l+"</formula>
    </cfRule>
    <cfRule type="expression" dxfId="52" priority="14">
      <formula>$C$9="l"</formula>
    </cfRule>
  </conditionalFormatting>
  <conditionalFormatting sqref="E16">
    <cfRule type="expression" dxfId="51" priority="9">
      <formula>$C$12="l-"</formula>
    </cfRule>
    <cfRule type="expression" dxfId="50" priority="10">
      <formula>$C$12="l+"</formula>
    </cfRule>
    <cfRule type="expression" dxfId="49" priority="11">
      <formula>$C$12="l"</formula>
    </cfRule>
  </conditionalFormatting>
  <conditionalFormatting sqref="I9:I10 I12:I13">
    <cfRule type="expression" dxfId="48" priority="43">
      <formula>$C$18="P amount is too high. Choose a fertilizer with a lower P content"</formula>
    </cfRule>
    <cfRule type="expression" dxfId="47" priority="44">
      <formula>$A$16=$C$16</formula>
    </cfRule>
  </conditionalFormatting>
  <conditionalFormatting sqref="I15:I16">
    <cfRule type="expression" dxfId="46" priority="45">
      <formula>$C$18="P amount is too high. Choose a fertilizer with a lower P content"</formula>
    </cfRule>
    <cfRule type="expression" dxfId="45" priority="46">
      <formula>$A$21=$C$20</formula>
    </cfRule>
  </conditionalFormatting>
  <conditionalFormatting sqref="C18">
    <cfRule type="expression" dxfId="44" priority="6" stopIfTrue="1">
      <formula>$A$16=$D$16</formula>
    </cfRule>
    <cfRule type="containsText" dxfId="43" priority="7" operator="containsText" text="OK">
      <formula>NOT(ISERROR(SEARCH("OK",C18)))</formula>
    </cfRule>
    <cfRule type="containsText" dxfId="42" priority="8" operator="containsText" text="High">
      <formula>NOT(ISERROR(SEARCH("High",C18)))</formula>
    </cfRule>
  </conditionalFormatting>
  <conditionalFormatting sqref="D18">
    <cfRule type="containsText" dxfId="41" priority="4" operator="containsText" text="phosphorus">
      <formula>NOT(ISERROR(SEARCH("phosphorus",D18)))</formula>
    </cfRule>
    <cfRule type="expression" dxfId="40" priority="5">
      <formula>$D$17=#N/A</formula>
    </cfRule>
  </conditionalFormatting>
  <conditionalFormatting sqref="E18">
    <cfRule type="containsText" dxfId="39" priority="3" operator="containsText" text="potassium">
      <formula>NOT(ISERROR(SEARCH("potassium",E18)))</formula>
    </cfRule>
  </conditionalFormatting>
  <dataValidations count="1">
    <dataValidation type="list" allowBlank="1" showInputMessage="1" showErrorMessage="1" sqref="C9:C10 C12:C13" xr:uid="{00000000-0002-0000-0100-000000000000}">
      <formula1>$O$4:$O$13</formula1>
    </dataValidation>
  </dataValidations>
  <pageMargins left="0.7" right="0.7" top="0.75" bottom="0.75" header="0.3" footer="0.3"/>
  <pageSetup orientation="portrait" r:id="rId1"/>
  <ignoredErrors>
    <ignoredError sqref="D9 D12 I6 C18:D18 E18 H23:I23 I15 I12 I9" evalError="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Q51"/>
  <sheetViews>
    <sheetView showGridLines="0" zoomScale="85" zoomScaleNormal="85" zoomScalePageLayoutView="200" workbookViewId="0">
      <selection activeCell="D21" sqref="D21"/>
    </sheetView>
  </sheetViews>
  <sheetFormatPr baseColWidth="10" defaultColWidth="8.83203125" defaultRowHeight="15" x14ac:dyDescent="0.2"/>
  <cols>
    <col min="1" max="1" width="3.6640625" style="1" customWidth="1"/>
    <col min="2" max="2" width="46.1640625" customWidth="1"/>
    <col min="3" max="3" width="15.33203125" customWidth="1"/>
    <col min="4" max="5" width="13.6640625" customWidth="1"/>
    <col min="6" max="6" width="1.5" style="18" customWidth="1"/>
    <col min="7" max="7" width="25.5" customWidth="1"/>
    <col min="8" max="8" width="30" customWidth="1"/>
    <col min="9" max="9" width="25.5" customWidth="1"/>
    <col min="11" max="11" width="12.83203125" hidden="1" customWidth="1"/>
    <col min="12" max="16" width="9.1640625" hidden="1" customWidth="1"/>
    <col min="17" max="17" width="0" hidden="1" customWidth="1"/>
  </cols>
  <sheetData>
    <row r="1" spans="1:16" x14ac:dyDescent="0.2">
      <c r="B1" s="63" t="s">
        <v>43</v>
      </c>
      <c r="C1" s="56"/>
      <c r="G1" s="55" t="s">
        <v>19</v>
      </c>
      <c r="H1" s="56"/>
    </row>
    <row r="2" spans="1:16" ht="3.75" customHeight="1" thickBot="1" x14ac:dyDescent="0.25">
      <c r="B2" s="63"/>
      <c r="C2" s="56"/>
      <c r="K2" t="s">
        <v>29</v>
      </c>
    </row>
    <row r="3" spans="1:16" ht="21.75" customHeight="1" thickBot="1" x14ac:dyDescent="0.25">
      <c r="B3" s="15"/>
      <c r="C3" s="14" t="s">
        <v>41</v>
      </c>
      <c r="D3" s="1"/>
      <c r="E3" s="1"/>
      <c r="F3" s="19"/>
      <c r="G3" s="57" t="s">
        <v>20</v>
      </c>
      <c r="H3" s="58"/>
      <c r="I3" s="77">
        <f>ROUNDUP((C6/0.7),0)</f>
        <v>0</v>
      </c>
      <c r="K3" s="7">
        <f>(C4/1000)</f>
        <v>0</v>
      </c>
    </row>
    <row r="4" spans="1:16" ht="31.5" customHeight="1" thickBot="1" x14ac:dyDescent="0.25">
      <c r="A4" s="2">
        <v>1</v>
      </c>
      <c r="B4" s="4" t="s">
        <v>0</v>
      </c>
      <c r="C4" s="29"/>
      <c r="G4" s="59" t="s">
        <v>114</v>
      </c>
      <c r="H4" s="97"/>
      <c r="I4" s="79"/>
      <c r="K4" t="s">
        <v>25</v>
      </c>
      <c r="M4" t="s">
        <v>31</v>
      </c>
      <c r="O4" t="s">
        <v>4</v>
      </c>
      <c r="P4" t="s">
        <v>16</v>
      </c>
    </row>
    <row r="5" spans="1:16" ht="9" customHeight="1" thickBot="1" x14ac:dyDescent="0.25">
      <c r="A5" s="2"/>
      <c r="D5" s="2"/>
      <c r="E5" s="2"/>
      <c r="F5" s="20"/>
      <c r="K5" s="7" t="e">
        <f>ROUND((C6/I3),1)</f>
        <v>#DIV/0!</v>
      </c>
      <c r="M5" s="7" t="e">
        <f>(K5/L10)</f>
        <v>#DIV/0!</v>
      </c>
      <c r="O5" t="s">
        <v>5</v>
      </c>
      <c r="P5" t="s">
        <v>16</v>
      </c>
    </row>
    <row r="6" spans="1:16" ht="32" x14ac:dyDescent="0.2">
      <c r="A6" s="2">
        <v>2</v>
      </c>
      <c r="B6" s="8" t="s">
        <v>116</v>
      </c>
      <c r="C6" s="82"/>
      <c r="D6" s="64" t="str">
        <f>IF(C6&gt;4, "Nitrogen amount is too high. Please lower", "Nitrogen amount is OK")</f>
        <v>Nitrogen amount is OK</v>
      </c>
      <c r="E6" s="65"/>
      <c r="F6" s="21"/>
      <c r="G6" s="57" t="s">
        <v>21</v>
      </c>
      <c r="H6" s="58"/>
      <c r="I6" s="80" t="e">
        <f>VLOOKUP($I$3,$O$26:$P$31,2)</f>
        <v>#N/A</v>
      </c>
      <c r="L6" t="s">
        <v>42</v>
      </c>
      <c r="M6" s="7" t="e">
        <f>((L16*K3)/L10)</f>
        <v>#DIV/0!</v>
      </c>
      <c r="O6" t="s">
        <v>6</v>
      </c>
      <c r="P6" t="s">
        <v>16</v>
      </c>
    </row>
    <row r="7" spans="1:16" ht="106" thickBot="1" x14ac:dyDescent="0.25">
      <c r="A7" s="2"/>
      <c r="B7" s="5" t="s">
        <v>115</v>
      </c>
      <c r="C7" s="83"/>
      <c r="D7" s="66"/>
      <c r="E7" s="67"/>
      <c r="F7" s="21"/>
      <c r="G7" s="59" t="s">
        <v>91</v>
      </c>
      <c r="H7" s="60"/>
      <c r="I7" s="81"/>
      <c r="K7" s="10"/>
      <c r="O7" t="s">
        <v>7</v>
      </c>
      <c r="P7" t="s">
        <v>17</v>
      </c>
    </row>
    <row r="8" spans="1:16" ht="9" customHeight="1" thickBot="1" x14ac:dyDescent="0.25">
      <c r="A8" s="2"/>
      <c r="C8" s="1"/>
      <c r="O8" t="s">
        <v>8</v>
      </c>
      <c r="P8" t="s">
        <v>17</v>
      </c>
    </row>
    <row r="9" spans="1:16" ht="32" x14ac:dyDescent="0.2">
      <c r="A9" s="2">
        <v>3</v>
      </c>
      <c r="B9" s="8" t="s">
        <v>1</v>
      </c>
      <c r="C9" s="82"/>
      <c r="D9" s="64" t="e">
        <f>VLOOKUP(C9,$O$4:$P$13,2, FALSE)</f>
        <v>#N/A</v>
      </c>
      <c r="E9" s="65"/>
      <c r="F9" s="21"/>
      <c r="G9" s="57" t="s">
        <v>97</v>
      </c>
      <c r="H9" s="58"/>
      <c r="I9" s="77" t="e">
        <f>ROUND(M6,1)</f>
        <v>#DIV/0!</v>
      </c>
      <c r="K9" t="s">
        <v>30</v>
      </c>
      <c r="L9" t="s">
        <v>26</v>
      </c>
      <c r="M9" t="s">
        <v>27</v>
      </c>
      <c r="N9" t="s">
        <v>28</v>
      </c>
      <c r="O9" t="s">
        <v>9</v>
      </c>
      <c r="P9" t="s">
        <v>17</v>
      </c>
    </row>
    <row r="10" spans="1:16" ht="45.75" customHeight="1" thickBot="1" x14ac:dyDescent="0.25">
      <c r="A10" s="2"/>
      <c r="B10" s="6" t="s">
        <v>2</v>
      </c>
      <c r="C10" s="83"/>
      <c r="D10" s="66"/>
      <c r="E10" s="67"/>
      <c r="F10" s="21"/>
      <c r="G10" s="59" t="s">
        <v>93</v>
      </c>
      <c r="H10" s="60"/>
      <c r="I10" s="78"/>
      <c r="L10" s="7">
        <f>(C16/100)</f>
        <v>0</v>
      </c>
      <c r="M10" s="7">
        <f>(D16/100)</f>
        <v>0</v>
      </c>
      <c r="N10" s="7">
        <f>(E16/100)</f>
        <v>0</v>
      </c>
      <c r="O10" t="s">
        <v>10</v>
      </c>
      <c r="P10" t="s">
        <v>18</v>
      </c>
    </row>
    <row r="11" spans="1:16" ht="9" customHeight="1" thickBot="1" x14ac:dyDescent="0.25">
      <c r="A11" s="2"/>
      <c r="O11" t="s">
        <v>11</v>
      </c>
      <c r="P11" t="s">
        <v>18</v>
      </c>
    </row>
    <row r="12" spans="1:16" ht="32" x14ac:dyDescent="0.2">
      <c r="A12" s="2">
        <v>4</v>
      </c>
      <c r="B12" s="13" t="s">
        <v>3</v>
      </c>
      <c r="C12" s="82"/>
      <c r="D12" s="64" t="e">
        <f>VLOOKUP(C12,$O$15:$P$24,2,FALSE)</f>
        <v>#N/A</v>
      </c>
      <c r="E12" s="65"/>
      <c r="F12" s="21"/>
      <c r="G12" s="57" t="s">
        <v>98</v>
      </c>
      <c r="H12" s="61"/>
      <c r="I12" s="77" t="e">
        <f>ROUND((I9*I3),1)</f>
        <v>#DIV/0!</v>
      </c>
      <c r="K12" t="s">
        <v>32</v>
      </c>
      <c r="L12" t="s">
        <v>27</v>
      </c>
      <c r="M12" t="s">
        <v>28</v>
      </c>
      <c r="O12" t="s">
        <v>12</v>
      </c>
      <c r="P12" t="s">
        <v>18</v>
      </c>
    </row>
    <row r="13" spans="1:16" ht="33" customHeight="1" thickBot="1" x14ac:dyDescent="0.25">
      <c r="A13" s="2"/>
      <c r="B13" s="6" t="s">
        <v>2</v>
      </c>
      <c r="C13" s="84"/>
      <c r="D13" s="66"/>
      <c r="E13" s="67"/>
      <c r="F13" s="21"/>
      <c r="G13" s="59" t="s">
        <v>95</v>
      </c>
      <c r="H13" s="62"/>
      <c r="I13" s="78"/>
      <c r="L13" s="7" t="e">
        <f>VLOOKUP(C9,$O$32:$P$41, 2, FALSE)</f>
        <v>#N/A</v>
      </c>
      <c r="M13" s="7" t="e">
        <f>VLOOKUP(C12,$O$32:$P$41, 2, FALSE)</f>
        <v>#N/A</v>
      </c>
      <c r="O13" t="s">
        <v>13</v>
      </c>
      <c r="P13" t="s">
        <v>18</v>
      </c>
    </row>
    <row r="14" spans="1:16" ht="9" customHeight="1" thickBot="1" x14ac:dyDescent="0.25">
      <c r="A14" s="2"/>
    </row>
    <row r="15" spans="1:16" ht="16" x14ac:dyDescent="0.2">
      <c r="A15" s="2">
        <v>5</v>
      </c>
      <c r="B15" s="13" t="s">
        <v>49</v>
      </c>
      <c r="C15" s="50" t="s">
        <v>26</v>
      </c>
      <c r="D15" s="11" t="s">
        <v>27</v>
      </c>
      <c r="E15" s="17" t="s">
        <v>28</v>
      </c>
      <c r="F15" s="16"/>
      <c r="G15" s="57" t="s">
        <v>99</v>
      </c>
      <c r="H15" s="58"/>
      <c r="I15" s="77" t="e">
        <f>ROUNDUP(I12/C20,0)</f>
        <v>#DIV/0!</v>
      </c>
      <c r="K15" t="s">
        <v>33</v>
      </c>
      <c r="L15" t="s">
        <v>26</v>
      </c>
      <c r="M15" t="s">
        <v>27</v>
      </c>
      <c r="N15" t="s">
        <v>28</v>
      </c>
      <c r="O15" t="s">
        <v>4</v>
      </c>
      <c r="P15" t="s">
        <v>14</v>
      </c>
    </row>
    <row r="16" spans="1:16" ht="63.75" customHeight="1" thickBot="1" x14ac:dyDescent="0.25">
      <c r="A16" s="2"/>
      <c r="B16" s="68" t="s">
        <v>90</v>
      </c>
      <c r="C16" s="94"/>
      <c r="D16" s="95"/>
      <c r="E16" s="96"/>
      <c r="F16" s="16"/>
      <c r="G16" s="59" t="s">
        <v>118</v>
      </c>
      <c r="H16" s="60"/>
      <c r="I16" s="79"/>
      <c r="L16" s="7" t="e">
        <f>(M5*L10)</f>
        <v>#DIV/0!</v>
      </c>
      <c r="M16" s="7" t="e">
        <f>(M5*M10)</f>
        <v>#DIV/0!</v>
      </c>
      <c r="N16" s="7" t="e">
        <f>(M5*N10)</f>
        <v>#DIV/0!</v>
      </c>
      <c r="O16" t="s">
        <v>5</v>
      </c>
      <c r="P16" t="s">
        <v>14</v>
      </c>
    </row>
    <row r="17" spans="1:16" ht="9" customHeight="1" thickBot="1" x14ac:dyDescent="0.25">
      <c r="A17" s="2"/>
      <c r="B17" s="69"/>
      <c r="C17" s="94"/>
      <c r="D17" s="95"/>
      <c r="E17" s="96"/>
      <c r="F17" s="16"/>
      <c r="G17" s="3"/>
      <c r="H17" s="3"/>
      <c r="K17" t="s">
        <v>34</v>
      </c>
      <c r="L17" s="7" t="e">
        <f>(L16*I3)</f>
        <v>#DIV/0!</v>
      </c>
      <c r="M17" s="7" t="e">
        <f>(M16*I3)</f>
        <v>#DIV/0!</v>
      </c>
      <c r="N17" s="7" t="e">
        <f>(N16*I3)</f>
        <v>#DIV/0!</v>
      </c>
      <c r="O17" t="s">
        <v>6</v>
      </c>
      <c r="P17" t="s">
        <v>14</v>
      </c>
    </row>
    <row r="18" spans="1:16" ht="68.25" customHeight="1" thickBot="1" x14ac:dyDescent="0.25">
      <c r="A18" s="2"/>
      <c r="B18" s="70"/>
      <c r="C18" s="51" t="e">
        <f>IF(M17&gt;L13, "P amount is too high. Choose a fertilizer with a lower P content", "")</f>
        <v>#DIV/0!</v>
      </c>
      <c r="D18" s="52" t="e">
        <f t="array" ref="D18">INDEX($Q$44:$Q$46, MATCH(C9, IF($P$44:$P$46=D16,$O$44:$O$46),0))</f>
        <v>#N/A</v>
      </c>
      <c r="E18" s="53" t="e">
        <f t="array" ref="E18">INDEX($Q$49:$Q$51, MATCH(C12, IF($P$49:$P$51=E16,$O$49:$O$51),0))</f>
        <v>#N/A</v>
      </c>
      <c r="F18" s="16"/>
      <c r="G18" s="54" t="s">
        <v>89</v>
      </c>
      <c r="O18" t="s">
        <v>7</v>
      </c>
      <c r="P18" t="s">
        <v>15</v>
      </c>
    </row>
    <row r="19" spans="1:16" ht="9" customHeight="1" thickBot="1" x14ac:dyDescent="0.25">
      <c r="O19" t="s">
        <v>8</v>
      </c>
      <c r="P19" t="s">
        <v>15</v>
      </c>
    </row>
    <row r="20" spans="1:16" x14ac:dyDescent="0.2">
      <c r="A20" s="2">
        <v>6</v>
      </c>
      <c r="B20" s="12" t="s">
        <v>35</v>
      </c>
      <c r="C20" s="75"/>
      <c r="G20" s="87" t="s">
        <v>39</v>
      </c>
      <c r="H20" s="88"/>
      <c r="I20" s="89"/>
      <c r="O20" t="s">
        <v>9</v>
      </c>
      <c r="P20" t="s">
        <v>15</v>
      </c>
    </row>
    <row r="21" spans="1:16" ht="31" thickBot="1" x14ac:dyDescent="0.25">
      <c r="B21" s="9" t="s">
        <v>117</v>
      </c>
      <c r="C21" s="76"/>
      <c r="G21" s="68" t="s">
        <v>100</v>
      </c>
      <c r="H21" s="90"/>
      <c r="I21" s="91"/>
      <c r="O21" t="s">
        <v>10</v>
      </c>
      <c r="P21" t="s">
        <v>15</v>
      </c>
    </row>
    <row r="22" spans="1:16" ht="16" x14ac:dyDescent="0.2">
      <c r="G22" s="22" t="s">
        <v>37</v>
      </c>
      <c r="H22" s="23" t="s">
        <v>38</v>
      </c>
      <c r="I22" s="24" t="s">
        <v>40</v>
      </c>
      <c r="O22" t="s">
        <v>11</v>
      </c>
      <c r="P22" t="s">
        <v>15</v>
      </c>
    </row>
    <row r="23" spans="1:16" ht="16" thickBot="1" x14ac:dyDescent="0.25">
      <c r="A23" s="2"/>
      <c r="G23" s="30"/>
      <c r="H23" s="25" t="e">
        <f>(I12-G23)</f>
        <v>#DIV/0!</v>
      </c>
      <c r="I23" s="26" t="e">
        <f>IF(H23&lt;0, "None", ROUNDUP((H23/C20),0))</f>
        <v>#DIV/0!</v>
      </c>
      <c r="O23" t="s">
        <v>12</v>
      </c>
      <c r="P23" t="s">
        <v>15</v>
      </c>
    </row>
    <row r="24" spans="1:16" x14ac:dyDescent="0.2">
      <c r="O24" t="s">
        <v>13</v>
      </c>
      <c r="P24" t="s">
        <v>15</v>
      </c>
    </row>
    <row r="26" spans="1:16" x14ac:dyDescent="0.2">
      <c r="O26">
        <v>1</v>
      </c>
      <c r="P26" t="s">
        <v>44</v>
      </c>
    </row>
    <row r="27" spans="1:16" x14ac:dyDescent="0.2">
      <c r="O27">
        <v>2</v>
      </c>
      <c r="P27" t="s">
        <v>45</v>
      </c>
    </row>
    <row r="28" spans="1:16" x14ac:dyDescent="0.2">
      <c r="O28">
        <v>3</v>
      </c>
      <c r="P28" t="s">
        <v>46</v>
      </c>
    </row>
    <row r="29" spans="1:16" x14ac:dyDescent="0.2">
      <c r="O29">
        <v>4</v>
      </c>
      <c r="P29" t="s">
        <v>47</v>
      </c>
    </row>
    <row r="30" spans="1:16" x14ac:dyDescent="0.2">
      <c r="O30">
        <v>5</v>
      </c>
      <c r="P30" t="s">
        <v>48</v>
      </c>
    </row>
    <row r="31" spans="1:16" x14ac:dyDescent="0.2">
      <c r="O31">
        <v>6</v>
      </c>
      <c r="P31" t="s">
        <v>52</v>
      </c>
    </row>
    <row r="32" spans="1:16" x14ac:dyDescent="0.2">
      <c r="O32" t="s">
        <v>4</v>
      </c>
      <c r="P32">
        <v>3</v>
      </c>
    </row>
    <row r="33" spans="15:17" x14ac:dyDescent="0.2">
      <c r="O33" t="s">
        <v>5</v>
      </c>
      <c r="P33">
        <v>2.5</v>
      </c>
    </row>
    <row r="34" spans="15:17" x14ac:dyDescent="0.2">
      <c r="O34" t="s">
        <v>6</v>
      </c>
      <c r="P34">
        <v>2</v>
      </c>
    </row>
    <row r="35" spans="15:17" x14ac:dyDescent="0.2">
      <c r="O35" t="s">
        <v>7</v>
      </c>
      <c r="P35">
        <v>2</v>
      </c>
    </row>
    <row r="36" spans="15:17" x14ac:dyDescent="0.2">
      <c r="O36" t="s">
        <v>8</v>
      </c>
      <c r="P36">
        <v>1.5</v>
      </c>
    </row>
    <row r="37" spans="15:17" x14ac:dyDescent="0.2">
      <c r="O37" t="s">
        <v>9</v>
      </c>
      <c r="P37">
        <v>1</v>
      </c>
    </row>
    <row r="38" spans="15:17" x14ac:dyDescent="0.2">
      <c r="O38" t="s">
        <v>10</v>
      </c>
      <c r="P38">
        <v>1</v>
      </c>
    </row>
    <row r="39" spans="15:17" x14ac:dyDescent="0.2">
      <c r="O39" t="s">
        <v>11</v>
      </c>
      <c r="P39">
        <v>0.75</v>
      </c>
    </row>
    <row r="40" spans="15:17" x14ac:dyDescent="0.2">
      <c r="O40" t="s">
        <v>12</v>
      </c>
      <c r="P40">
        <v>0.5</v>
      </c>
    </row>
    <row r="41" spans="15:17" x14ac:dyDescent="0.2">
      <c r="O41" t="s">
        <v>13</v>
      </c>
      <c r="P41">
        <v>0</v>
      </c>
    </row>
    <row r="43" spans="15:17" x14ac:dyDescent="0.2">
      <c r="O43" t="s">
        <v>81</v>
      </c>
      <c r="P43" t="s">
        <v>82</v>
      </c>
      <c r="Q43" t="s">
        <v>83</v>
      </c>
    </row>
    <row r="44" spans="15:17" x14ac:dyDescent="0.2">
      <c r="O44" t="s">
        <v>84</v>
      </c>
      <c r="P44">
        <v>0</v>
      </c>
      <c r="Q44" t="s">
        <v>85</v>
      </c>
    </row>
    <row r="45" spans="15:17" x14ac:dyDescent="0.2">
      <c r="O45" t="s">
        <v>80</v>
      </c>
      <c r="P45">
        <v>0</v>
      </c>
      <c r="Q45" t="s">
        <v>85</v>
      </c>
    </row>
    <row r="46" spans="15:17" x14ac:dyDescent="0.2">
      <c r="O46" t="s">
        <v>79</v>
      </c>
      <c r="P46">
        <v>0</v>
      </c>
      <c r="Q46" t="s">
        <v>85</v>
      </c>
    </row>
    <row r="48" spans="15:17" x14ac:dyDescent="0.2">
      <c r="O48" t="s">
        <v>86</v>
      </c>
      <c r="P48" t="s">
        <v>82</v>
      </c>
      <c r="Q48" t="s">
        <v>83</v>
      </c>
    </row>
    <row r="49" spans="15:17" x14ac:dyDescent="0.2">
      <c r="O49" t="s">
        <v>84</v>
      </c>
      <c r="P49">
        <v>0</v>
      </c>
      <c r="Q49" t="s">
        <v>87</v>
      </c>
    </row>
    <row r="50" spans="15:17" x14ac:dyDescent="0.2">
      <c r="O50" t="s">
        <v>80</v>
      </c>
      <c r="P50">
        <v>0</v>
      </c>
      <c r="Q50" t="s">
        <v>87</v>
      </c>
    </row>
    <row r="51" spans="15:17" x14ac:dyDescent="0.2">
      <c r="O51" t="s">
        <v>79</v>
      </c>
      <c r="P51">
        <v>0</v>
      </c>
      <c r="Q51" t="s">
        <v>87</v>
      </c>
    </row>
  </sheetData>
  <sheetProtection algorithmName="SHA-512" hashValue="Su/qiQ01Tiodv0wl1h3sCeh+cbfr93NivMMR2QfieTBSfuagP03Mj5v8rCwPvua6OYl8fQ6CD/FtS7ulPIGZ8A==" saltValue="sA2xE1ntzfRfsMnn+jFqQw==" spinCount="100000" sheet="1" objects="1" scenarios="1"/>
  <customSheetViews>
    <customSheetView guid="{D920D7F4-8119-6443-BB94-D0BB6CD1A76A}" scale="200" showGridLines="0" hiddenColumns="1" topLeftCell="A31">
      <selection activeCell="C4" sqref="C4"/>
      <pageMargins left="0.7" right="0.7" top="0.75" bottom="0.75" header="0.3" footer="0.3"/>
      <pageSetup orientation="portrait"/>
    </customSheetView>
  </customSheetViews>
  <mergeCells count="30">
    <mergeCell ref="C6:C7"/>
    <mergeCell ref="D6:E7"/>
    <mergeCell ref="G6:H6"/>
    <mergeCell ref="I6:I7"/>
    <mergeCell ref="G7:H7"/>
    <mergeCell ref="B1:C2"/>
    <mergeCell ref="G1:H1"/>
    <mergeCell ref="G3:H3"/>
    <mergeCell ref="I3:I4"/>
    <mergeCell ref="G4:H4"/>
    <mergeCell ref="C12:C13"/>
    <mergeCell ref="D12:E13"/>
    <mergeCell ref="G12:H12"/>
    <mergeCell ref="I12:I13"/>
    <mergeCell ref="G13:H13"/>
    <mergeCell ref="C9:C10"/>
    <mergeCell ref="D9:E10"/>
    <mergeCell ref="G9:H9"/>
    <mergeCell ref="I9:I10"/>
    <mergeCell ref="G10:H10"/>
    <mergeCell ref="G21:I21"/>
    <mergeCell ref="C20:C21"/>
    <mergeCell ref="G15:H15"/>
    <mergeCell ref="I15:I16"/>
    <mergeCell ref="B16:B18"/>
    <mergeCell ref="G16:H16"/>
    <mergeCell ref="G20:I20"/>
    <mergeCell ref="C16:C17"/>
    <mergeCell ref="D16:D17"/>
    <mergeCell ref="E16:E17"/>
  </mergeCells>
  <conditionalFormatting sqref="D6:D7 F6:F7">
    <cfRule type="expression" dxfId="38" priority="35" stopIfTrue="1">
      <formula>$A$7=$C$6</formula>
    </cfRule>
    <cfRule type="containsText" dxfId="37" priority="36" operator="containsText" text="OK">
      <formula>NOT(ISERROR(SEARCH("OK",D6)))</formula>
    </cfRule>
    <cfRule type="containsText" dxfId="36" priority="37" operator="containsText" text="lower">
      <formula>NOT(ISERROR(SEARCH("lower",D6)))</formula>
    </cfRule>
  </conditionalFormatting>
  <conditionalFormatting sqref="D9:D10 F9:F10">
    <cfRule type="containsText" dxfId="35" priority="31" operator="containsText" text="may">
      <formula>NOT(ISERROR(SEARCH("may",D9)))</formula>
    </cfRule>
    <cfRule type="containsText" dxfId="34" priority="32" operator="containsText" text="with">
      <formula>NOT(ISERROR(SEARCH("with",D9)))</formula>
    </cfRule>
    <cfRule type="containsText" dxfId="33" priority="33" operator="containsText" text="Zero">
      <formula>NOT(ISERROR(SEARCH("Zero",D9)))</formula>
    </cfRule>
    <cfRule type="expression" dxfId="32" priority="34">
      <formula>$A$10=$C$9</formula>
    </cfRule>
  </conditionalFormatting>
  <conditionalFormatting sqref="D12:D13 F12:F13">
    <cfRule type="expression" dxfId="31" priority="27">
      <formula>$A$13=$C$12</formula>
    </cfRule>
    <cfRule type="containsText" dxfId="30" priority="28" operator="containsText" text="may">
      <formula>NOT(ISERROR(SEARCH("may",D12)))</formula>
    </cfRule>
    <cfRule type="containsText" dxfId="29" priority="29" operator="containsText" text="with">
      <formula>NOT(ISERROR(SEARCH("with",D12)))</formula>
    </cfRule>
    <cfRule type="containsText" dxfId="28" priority="30" operator="containsText" text="Zero">
      <formula>NOT(ISERROR(SEARCH("Zero",D12)))</formula>
    </cfRule>
  </conditionalFormatting>
  <conditionalFormatting sqref="I3:I4">
    <cfRule type="expression" dxfId="27" priority="15">
      <formula>$C$6&gt;4</formula>
    </cfRule>
    <cfRule type="expression" dxfId="26" priority="26">
      <formula>$A$7=$C$6</formula>
    </cfRule>
  </conditionalFormatting>
  <conditionalFormatting sqref="I6:I7">
    <cfRule type="expression" dxfId="25" priority="16">
      <formula>$C$6&gt;4</formula>
    </cfRule>
    <cfRule type="expression" dxfId="24" priority="25">
      <formula>$A$7=$C$6</formula>
    </cfRule>
  </conditionalFormatting>
  <conditionalFormatting sqref="C18">
    <cfRule type="expression" dxfId="23" priority="22" stopIfTrue="1">
      <formula>$A$16=$D$16</formula>
    </cfRule>
    <cfRule type="containsText" dxfId="22" priority="23" operator="containsText" text="OK">
      <formula>NOT(ISERROR(SEARCH("OK",C18)))</formula>
    </cfRule>
    <cfRule type="containsText" dxfId="21" priority="24" operator="containsText" text="High">
      <formula>NOT(ISERROR(SEARCH("High",C18)))</formula>
    </cfRule>
  </conditionalFormatting>
  <conditionalFormatting sqref="I9:I10 I12:I13">
    <cfRule type="expression" dxfId="20" priority="56">
      <formula>$C$18="P amount is too high. Choose a fertilizer with a lower P content"</formula>
    </cfRule>
    <cfRule type="expression" dxfId="19" priority="57">
      <formula>$A$16=$C$16</formula>
    </cfRule>
  </conditionalFormatting>
  <conditionalFormatting sqref="I15:I16">
    <cfRule type="expression" dxfId="18" priority="58">
      <formula>$C$18="P amount is too high. Choose a fertilizer with a lower P content"</formula>
    </cfRule>
    <cfRule type="expression" dxfId="17" priority="59">
      <formula>$A$21=$C$20</formula>
    </cfRule>
  </conditionalFormatting>
  <conditionalFormatting sqref="H23:I23">
    <cfRule type="expression" dxfId="16" priority="60">
      <formula>$C$18="P amount is too high. Choose a fertilizer with a lower P content"</formula>
    </cfRule>
    <cfRule type="expression" dxfId="15" priority="61">
      <formula>$F$21=$G$23</formula>
    </cfRule>
  </conditionalFormatting>
  <conditionalFormatting sqref="D16">
    <cfRule type="expression" dxfId="14" priority="7">
      <formula>$C$9="l-"</formula>
    </cfRule>
    <cfRule type="expression" dxfId="13" priority="8">
      <formula>$C$9="l+"</formula>
    </cfRule>
    <cfRule type="expression" dxfId="12" priority="9">
      <formula>$C$9="l"</formula>
    </cfRule>
  </conditionalFormatting>
  <conditionalFormatting sqref="E16">
    <cfRule type="expression" dxfId="11" priority="4">
      <formula>$C$12="l-"</formula>
    </cfRule>
    <cfRule type="expression" dxfId="10" priority="5">
      <formula>$C$12="l+"</formula>
    </cfRule>
    <cfRule type="expression" dxfId="9" priority="6">
      <formula>$C$12="l"</formula>
    </cfRule>
  </conditionalFormatting>
  <conditionalFormatting sqref="D18">
    <cfRule type="containsText" dxfId="8" priority="2" operator="containsText" text="phosphorus">
      <formula>NOT(ISERROR(SEARCH("phosphorus",D18)))</formula>
    </cfRule>
    <cfRule type="expression" dxfId="7" priority="3">
      <formula>$D$17=#N/A</formula>
    </cfRule>
  </conditionalFormatting>
  <conditionalFormatting sqref="E18">
    <cfRule type="containsText" dxfId="6" priority="1" operator="containsText" text="potassium">
      <formula>NOT(ISERROR(SEARCH("potassium",E18)))</formula>
    </cfRule>
  </conditionalFormatting>
  <dataValidations count="1">
    <dataValidation type="list" allowBlank="1" showInputMessage="1" showErrorMessage="1" sqref="C9:C10 C12:C13" xr:uid="{00000000-0002-0000-0200-000000000000}">
      <formula1>$O$4:$O$13</formula1>
    </dataValidation>
  </dataValidations>
  <pageMargins left="0.7" right="0.7" top="0.75" bottom="0.75" header="0.3" footer="0.3"/>
  <pageSetup orientation="portrait"/>
  <ignoredErrors>
    <ignoredError sqref="C18:E18 D9 D12 I6 I9 I12 I15 H23:I23" evalError="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I89"/>
  <sheetViews>
    <sheetView showGridLines="0" zoomScale="85" zoomScaleNormal="85" zoomScalePageLayoutView="200" workbookViewId="0">
      <selection activeCell="E26" sqref="E26"/>
    </sheetView>
  </sheetViews>
  <sheetFormatPr baseColWidth="10" defaultColWidth="9.1640625" defaultRowHeight="15" x14ac:dyDescent="0.2"/>
  <cols>
    <col min="1" max="1" width="3.1640625" style="34" customWidth="1"/>
    <col min="2" max="2" width="44" style="34" customWidth="1"/>
    <col min="3" max="3" width="13.5" style="34" customWidth="1"/>
    <col min="4" max="4" width="1.1640625" style="44" customWidth="1"/>
    <col min="5" max="5" width="34.83203125" style="44" customWidth="1"/>
    <col min="6" max="6" width="1.6640625" style="34" customWidth="1"/>
    <col min="7" max="7" width="9.1640625" style="34"/>
    <col min="8" max="8" width="43.6640625" style="34" customWidth="1"/>
    <col min="9" max="9" width="34.83203125" style="34" customWidth="1"/>
    <col min="10" max="10" width="9.1640625" style="34"/>
    <col min="11" max="11" width="10.33203125" style="34" hidden="1" customWidth="1"/>
    <col min="12" max="12" width="11.33203125" style="34" hidden="1" customWidth="1"/>
    <col min="13" max="15" width="0" style="34" hidden="1" customWidth="1"/>
    <col min="16" max="16" width="10" style="34" hidden="1" customWidth="1"/>
    <col min="17" max="17" width="0" style="34" hidden="1" customWidth="1"/>
    <col min="18" max="18" width="11.33203125" style="34" hidden="1" customWidth="1"/>
    <col min="19" max="19" width="9.1640625" style="34" hidden="1" customWidth="1"/>
    <col min="20" max="20" width="0" style="34" hidden="1" customWidth="1"/>
    <col min="21" max="30" width="9.1640625" style="34"/>
    <col min="31" max="35" width="0" style="34" hidden="1" customWidth="1"/>
    <col min="36" max="16384" width="9.1640625" style="34"/>
  </cols>
  <sheetData>
    <row r="1" spans="1:35" x14ac:dyDescent="0.2">
      <c r="A1" s="32"/>
      <c r="B1" s="98" t="s">
        <v>53</v>
      </c>
      <c r="C1" s="99"/>
      <c r="D1" s="33"/>
      <c r="E1" s="33"/>
      <c r="AE1" s="34" t="s">
        <v>54</v>
      </c>
      <c r="AF1" s="34" t="s">
        <v>55</v>
      </c>
      <c r="AG1" s="34" t="s">
        <v>56</v>
      </c>
      <c r="AI1" s="35" t="s">
        <v>57</v>
      </c>
    </row>
    <row r="2" spans="1:35" ht="16" thickBot="1" x14ac:dyDescent="0.25">
      <c r="A2" s="32"/>
      <c r="B2" s="98"/>
      <c r="C2" s="99"/>
      <c r="D2" s="33"/>
      <c r="E2" s="36" t="s">
        <v>58</v>
      </c>
      <c r="G2" s="100" t="s">
        <v>19</v>
      </c>
      <c r="H2" s="101"/>
      <c r="K2" s="34" t="s">
        <v>59</v>
      </c>
      <c r="L2" s="34" t="s">
        <v>60</v>
      </c>
      <c r="N2" s="34" t="s">
        <v>54</v>
      </c>
      <c r="O2" s="34" t="s">
        <v>61</v>
      </c>
      <c r="P2" s="34" t="s">
        <v>62</v>
      </c>
      <c r="R2" s="34" t="s">
        <v>63</v>
      </c>
      <c r="AE2" s="34">
        <v>50</v>
      </c>
      <c r="AF2" s="34">
        <v>0.5</v>
      </c>
      <c r="AG2" s="34">
        <v>1</v>
      </c>
      <c r="AI2" s="34" t="e">
        <f t="array" ref="AI2">INDEX($AG$2:$AG$89, MATCH(N3, IF($AF$2:$AF$89=L3,$AE$2:$AE$89),0))</f>
        <v>#N/A</v>
      </c>
    </row>
    <row r="3" spans="1:35" ht="17" thickBot="1" x14ac:dyDescent="0.25">
      <c r="A3" s="32"/>
      <c r="B3" s="37"/>
      <c r="C3" s="38" t="s">
        <v>41</v>
      </c>
      <c r="D3" s="39"/>
      <c r="E3" s="102" t="e">
        <f>VLOOKUP(C9,R20:S22,2)</f>
        <v>#N/A</v>
      </c>
      <c r="G3" s="105" t="s">
        <v>64</v>
      </c>
      <c r="H3" s="106"/>
      <c r="I3" s="107">
        <f>ROUNDUP((C6/50),0)</f>
        <v>0</v>
      </c>
      <c r="K3" s="34">
        <f>(C6)</f>
        <v>0</v>
      </c>
      <c r="L3" s="40">
        <f>MROUND(((K3*43.56)/2000),0.5)</f>
        <v>0</v>
      </c>
      <c r="N3" s="34">
        <f>MROUND(ROUNDUP(C12,1),10)</f>
        <v>0</v>
      </c>
      <c r="O3" s="34" t="e">
        <f>(AI2)</f>
        <v>#N/A</v>
      </c>
      <c r="P3" s="34" t="e">
        <f>((O3*2000)/43.56)</f>
        <v>#N/A</v>
      </c>
      <c r="AE3" s="34">
        <v>60</v>
      </c>
      <c r="AF3" s="34">
        <v>0.5</v>
      </c>
      <c r="AG3" s="34">
        <v>0.75</v>
      </c>
    </row>
    <row r="4" spans="1:35" ht="66" customHeight="1" thickBot="1" x14ac:dyDescent="0.25">
      <c r="A4" s="41">
        <v>1</v>
      </c>
      <c r="B4" s="42" t="s">
        <v>0</v>
      </c>
      <c r="C4" s="31"/>
      <c r="D4" s="43"/>
      <c r="E4" s="103"/>
      <c r="G4" s="109" t="s">
        <v>120</v>
      </c>
      <c r="H4" s="110"/>
      <c r="I4" s="108"/>
      <c r="L4" s="34" t="s">
        <v>65</v>
      </c>
      <c r="M4" s="34">
        <f>(C4/1000)</f>
        <v>0</v>
      </c>
      <c r="N4" s="34" t="e">
        <f>(P3/I3)</f>
        <v>#N/A</v>
      </c>
      <c r="P4" s="34" t="e">
        <f>(M4*P3)</f>
        <v>#N/A</v>
      </c>
      <c r="R4" s="34" t="s">
        <v>66</v>
      </c>
      <c r="AE4" s="34">
        <v>70</v>
      </c>
      <c r="AF4" s="34">
        <v>0.5</v>
      </c>
      <c r="AG4" s="34">
        <v>0.75</v>
      </c>
    </row>
    <row r="5" spans="1:35" ht="6" customHeight="1" thickBot="1" x14ac:dyDescent="0.25">
      <c r="E5" s="103"/>
      <c r="R5" s="34" t="s">
        <v>67</v>
      </c>
      <c r="AE5" s="34">
        <v>80</v>
      </c>
      <c r="AF5" s="34">
        <v>0.5</v>
      </c>
      <c r="AG5" s="34">
        <v>0.75</v>
      </c>
    </row>
    <row r="6" spans="1:35" ht="45.75" customHeight="1" x14ac:dyDescent="0.2">
      <c r="A6" s="41">
        <v>2</v>
      </c>
      <c r="B6" s="45" t="s">
        <v>68</v>
      </c>
      <c r="C6" s="111"/>
      <c r="D6" s="46"/>
      <c r="E6" s="103"/>
      <c r="G6" s="105" t="s">
        <v>69</v>
      </c>
      <c r="H6" s="106"/>
      <c r="I6" s="113" t="e">
        <f>VLOOKUP($I$3, $R$10:$S$15,2)</f>
        <v>#N/A</v>
      </c>
      <c r="R6" s="34" t="s">
        <v>70</v>
      </c>
      <c r="AE6" s="34">
        <v>90</v>
      </c>
      <c r="AF6" s="34">
        <v>0.5</v>
      </c>
      <c r="AG6" s="34">
        <v>0.5</v>
      </c>
    </row>
    <row r="7" spans="1:35" ht="87" customHeight="1" thickBot="1" x14ac:dyDescent="0.25">
      <c r="A7" s="41"/>
      <c r="B7" s="47" t="s">
        <v>105</v>
      </c>
      <c r="C7" s="112"/>
      <c r="D7" s="46"/>
      <c r="E7" s="103"/>
      <c r="G7" s="109" t="s">
        <v>106</v>
      </c>
      <c r="H7" s="115"/>
      <c r="I7" s="114"/>
      <c r="AE7" s="34">
        <v>100</v>
      </c>
      <c r="AF7" s="34">
        <v>0.5</v>
      </c>
      <c r="AG7" s="34">
        <v>0.5</v>
      </c>
    </row>
    <row r="8" spans="1:35" ht="7.5" customHeight="1" thickBot="1" x14ac:dyDescent="0.25">
      <c r="E8" s="103"/>
      <c r="AE8" s="34">
        <v>110</v>
      </c>
      <c r="AF8" s="34">
        <v>0.5</v>
      </c>
      <c r="AG8" s="34">
        <v>0.5</v>
      </c>
    </row>
    <row r="9" spans="1:35" ht="45" customHeight="1" x14ac:dyDescent="0.2">
      <c r="A9" s="41">
        <v>3</v>
      </c>
      <c r="B9" s="45" t="s">
        <v>71</v>
      </c>
      <c r="C9" s="111"/>
      <c r="D9" s="46"/>
      <c r="E9" s="103"/>
      <c r="F9" s="48"/>
      <c r="G9" s="105" t="s">
        <v>107</v>
      </c>
      <c r="H9" s="116"/>
      <c r="I9" s="118" t="e">
        <f>ROUNDUP((P4/I3),0)</f>
        <v>#N/A</v>
      </c>
      <c r="R9" s="34" t="s">
        <v>72</v>
      </c>
      <c r="AE9" s="34">
        <v>120</v>
      </c>
      <c r="AF9" s="34">
        <v>0.5</v>
      </c>
      <c r="AG9" s="34">
        <v>0.5</v>
      </c>
    </row>
    <row r="10" spans="1:35" ht="50.25" customHeight="1" thickBot="1" x14ac:dyDescent="0.25">
      <c r="A10" s="41"/>
      <c r="B10" s="47" t="s">
        <v>104</v>
      </c>
      <c r="C10" s="112"/>
      <c r="D10" s="46"/>
      <c r="E10" s="103"/>
      <c r="F10" s="48"/>
      <c r="G10" s="109" t="s">
        <v>93</v>
      </c>
      <c r="H10" s="120"/>
      <c r="I10" s="119"/>
      <c r="R10" s="34">
        <v>1</v>
      </c>
      <c r="S10" s="34" t="s">
        <v>73</v>
      </c>
      <c r="AE10" s="34">
        <v>130</v>
      </c>
      <c r="AF10" s="34">
        <v>0.5</v>
      </c>
      <c r="AG10" s="34">
        <v>0.5</v>
      </c>
    </row>
    <row r="11" spans="1:35" ht="6" customHeight="1" thickBot="1" x14ac:dyDescent="0.25">
      <c r="E11" s="103"/>
      <c r="R11" s="34">
        <v>2</v>
      </c>
      <c r="S11" s="34" t="s">
        <v>74</v>
      </c>
      <c r="AE11" s="34">
        <v>140</v>
      </c>
      <c r="AF11" s="34">
        <v>0.5</v>
      </c>
      <c r="AG11" s="34">
        <v>0.25</v>
      </c>
    </row>
    <row r="12" spans="1:35" ht="32" x14ac:dyDescent="0.2">
      <c r="A12" s="41">
        <v>4</v>
      </c>
      <c r="B12" s="45" t="s">
        <v>103</v>
      </c>
      <c r="C12" s="111"/>
      <c r="D12" s="46"/>
      <c r="E12" s="103"/>
      <c r="G12" s="105" t="s">
        <v>108</v>
      </c>
      <c r="H12" s="121"/>
      <c r="I12" s="122" t="e">
        <f>ROUNDUP((I9*I3),0)</f>
        <v>#N/A</v>
      </c>
      <c r="R12" s="34">
        <v>3</v>
      </c>
      <c r="S12" s="34" t="s">
        <v>74</v>
      </c>
      <c r="AE12" s="34">
        <v>150</v>
      </c>
      <c r="AF12" s="34">
        <v>0.5</v>
      </c>
      <c r="AG12" s="34">
        <v>0.25</v>
      </c>
    </row>
    <row r="13" spans="1:35" ht="32.25" customHeight="1" thickBot="1" x14ac:dyDescent="0.25">
      <c r="A13" s="41"/>
      <c r="B13" s="47" t="s">
        <v>102</v>
      </c>
      <c r="C13" s="112"/>
      <c r="D13" s="46"/>
      <c r="E13" s="103"/>
      <c r="G13" s="109" t="s">
        <v>110</v>
      </c>
      <c r="H13" s="124"/>
      <c r="I13" s="123"/>
      <c r="R13" s="34">
        <v>4</v>
      </c>
      <c r="S13" s="34" t="s">
        <v>74</v>
      </c>
      <c r="AE13" s="34">
        <v>50</v>
      </c>
      <c r="AF13" s="40">
        <v>1</v>
      </c>
      <c r="AG13" s="34">
        <v>2</v>
      </c>
    </row>
    <row r="14" spans="1:35" ht="6.75" customHeight="1" thickBot="1" x14ac:dyDescent="0.25">
      <c r="E14" s="103"/>
      <c r="R14" s="34">
        <v>5</v>
      </c>
      <c r="S14" s="34" t="s">
        <v>74</v>
      </c>
      <c r="AE14" s="34">
        <v>60</v>
      </c>
      <c r="AF14" s="40">
        <v>1</v>
      </c>
      <c r="AG14" s="34">
        <v>1.75</v>
      </c>
    </row>
    <row r="15" spans="1:35" ht="30" customHeight="1" x14ac:dyDescent="0.2">
      <c r="A15" s="41">
        <v>5</v>
      </c>
      <c r="B15" s="45" t="s">
        <v>75</v>
      </c>
      <c r="C15" s="111"/>
      <c r="D15" s="46"/>
      <c r="E15" s="103"/>
      <c r="G15" s="105" t="s">
        <v>109</v>
      </c>
      <c r="H15" s="106"/>
      <c r="I15" s="107" t="e">
        <f>ROUNDUP((I12/C15),0)</f>
        <v>#N/A</v>
      </c>
      <c r="R15" s="34">
        <v>6</v>
      </c>
      <c r="S15" s="34" t="s">
        <v>74</v>
      </c>
      <c r="AE15" s="34">
        <v>70</v>
      </c>
      <c r="AF15" s="40">
        <v>1</v>
      </c>
      <c r="AG15" s="34">
        <v>1.5</v>
      </c>
    </row>
    <row r="16" spans="1:35" ht="33" customHeight="1" thickBot="1" x14ac:dyDescent="0.25">
      <c r="A16" s="41"/>
      <c r="B16" s="47" t="s">
        <v>119</v>
      </c>
      <c r="C16" s="112"/>
      <c r="D16" s="46"/>
      <c r="E16" s="104"/>
      <c r="G16" s="109" t="s">
        <v>111</v>
      </c>
      <c r="H16" s="115"/>
      <c r="I16" s="108"/>
      <c r="AE16" s="34">
        <v>80</v>
      </c>
      <c r="AF16" s="40">
        <v>1</v>
      </c>
      <c r="AG16" s="34">
        <v>1.25</v>
      </c>
    </row>
    <row r="17" spans="7:33" ht="6.75" customHeight="1" x14ac:dyDescent="0.2">
      <c r="G17" s="49"/>
      <c r="H17" s="49"/>
      <c r="AE17" s="34">
        <v>90</v>
      </c>
      <c r="AF17" s="40">
        <v>1</v>
      </c>
      <c r="AG17" s="34">
        <v>1</v>
      </c>
    </row>
    <row r="18" spans="7:33" ht="15" customHeight="1" x14ac:dyDescent="0.2">
      <c r="G18" s="117" t="s">
        <v>88</v>
      </c>
      <c r="H18" s="56"/>
      <c r="R18" s="34" t="s">
        <v>76</v>
      </c>
      <c r="AE18" s="34">
        <v>100</v>
      </c>
      <c r="AF18" s="40">
        <v>1</v>
      </c>
      <c r="AG18" s="34">
        <v>1</v>
      </c>
    </row>
    <row r="19" spans="7:33" ht="27" customHeight="1" x14ac:dyDescent="0.2">
      <c r="G19" s="56"/>
      <c r="H19" s="56"/>
      <c r="AE19" s="34">
        <v>110</v>
      </c>
      <c r="AF19" s="40">
        <v>1</v>
      </c>
      <c r="AG19" s="34">
        <v>1</v>
      </c>
    </row>
    <row r="20" spans="7:33" x14ac:dyDescent="0.2">
      <c r="G20" s="56"/>
      <c r="H20" s="56"/>
      <c r="R20" s="34" t="s">
        <v>66</v>
      </c>
      <c r="S20" s="34" t="s">
        <v>77</v>
      </c>
      <c r="AE20" s="34">
        <v>120</v>
      </c>
      <c r="AF20" s="40">
        <v>1</v>
      </c>
      <c r="AG20" s="34">
        <v>0.75</v>
      </c>
    </row>
    <row r="21" spans="7:33" x14ac:dyDescent="0.2">
      <c r="R21" s="34" t="s">
        <v>67</v>
      </c>
      <c r="S21" s="34" t="s">
        <v>78</v>
      </c>
      <c r="AE21" s="34">
        <v>130</v>
      </c>
      <c r="AF21" s="40">
        <v>1</v>
      </c>
      <c r="AG21" s="34">
        <v>0.75</v>
      </c>
    </row>
    <row r="22" spans="7:33" x14ac:dyDescent="0.2">
      <c r="R22" s="34" t="s">
        <v>70</v>
      </c>
      <c r="AE22" s="34">
        <v>140</v>
      </c>
      <c r="AF22" s="40">
        <v>1</v>
      </c>
      <c r="AG22" s="34">
        <v>0.75</v>
      </c>
    </row>
    <row r="23" spans="7:33" x14ac:dyDescent="0.2">
      <c r="AE23" s="34">
        <v>150</v>
      </c>
      <c r="AF23" s="40">
        <v>1</v>
      </c>
      <c r="AG23" s="34">
        <v>0.75</v>
      </c>
    </row>
    <row r="24" spans="7:33" x14ac:dyDescent="0.2">
      <c r="AE24" s="34">
        <v>50</v>
      </c>
      <c r="AF24" s="34">
        <v>1.5</v>
      </c>
      <c r="AG24" s="34">
        <v>3</v>
      </c>
    </row>
    <row r="25" spans="7:33" x14ac:dyDescent="0.2">
      <c r="AE25" s="34">
        <v>60</v>
      </c>
      <c r="AF25" s="34">
        <v>1.5</v>
      </c>
      <c r="AG25" s="34">
        <v>2.5</v>
      </c>
    </row>
    <row r="26" spans="7:33" x14ac:dyDescent="0.2">
      <c r="AE26" s="34">
        <v>70</v>
      </c>
      <c r="AF26" s="34">
        <v>1.5</v>
      </c>
      <c r="AG26" s="34">
        <v>2.25</v>
      </c>
    </row>
    <row r="27" spans="7:33" x14ac:dyDescent="0.2">
      <c r="AE27" s="34">
        <v>80</v>
      </c>
      <c r="AF27" s="34">
        <v>1.5</v>
      </c>
      <c r="AG27" s="34">
        <v>2</v>
      </c>
    </row>
    <row r="28" spans="7:33" x14ac:dyDescent="0.2">
      <c r="AE28" s="34">
        <v>90</v>
      </c>
      <c r="AF28" s="34">
        <v>1.5</v>
      </c>
      <c r="AG28" s="34">
        <v>1.75</v>
      </c>
    </row>
    <row r="29" spans="7:33" x14ac:dyDescent="0.2">
      <c r="AE29" s="34">
        <v>100</v>
      </c>
      <c r="AF29" s="34">
        <v>1.5</v>
      </c>
      <c r="AG29" s="34">
        <v>1.5</v>
      </c>
    </row>
    <row r="30" spans="7:33" x14ac:dyDescent="0.2">
      <c r="AE30" s="34">
        <v>110</v>
      </c>
      <c r="AF30" s="34">
        <v>1.5</v>
      </c>
      <c r="AG30" s="34">
        <v>1.25</v>
      </c>
    </row>
    <row r="31" spans="7:33" x14ac:dyDescent="0.2">
      <c r="AE31" s="34">
        <v>120</v>
      </c>
      <c r="AF31" s="34">
        <v>1.5</v>
      </c>
      <c r="AG31" s="34">
        <v>1.25</v>
      </c>
    </row>
    <row r="32" spans="7:33" x14ac:dyDescent="0.2">
      <c r="AE32" s="34">
        <v>130</v>
      </c>
      <c r="AF32" s="34">
        <v>1.5</v>
      </c>
      <c r="AG32" s="34">
        <v>1.25</v>
      </c>
    </row>
    <row r="33" spans="31:33" x14ac:dyDescent="0.2">
      <c r="AE33" s="34">
        <v>140</v>
      </c>
      <c r="AF33" s="34">
        <v>1.5</v>
      </c>
      <c r="AG33" s="34">
        <v>1</v>
      </c>
    </row>
    <row r="34" spans="31:33" x14ac:dyDescent="0.2">
      <c r="AE34" s="34">
        <v>150</v>
      </c>
      <c r="AF34" s="34">
        <v>1.5</v>
      </c>
      <c r="AG34" s="34">
        <v>1</v>
      </c>
    </row>
    <row r="35" spans="31:33" x14ac:dyDescent="0.2">
      <c r="AE35" s="34">
        <v>50</v>
      </c>
      <c r="AF35" s="40">
        <v>2</v>
      </c>
      <c r="AG35" s="34">
        <v>4</v>
      </c>
    </row>
    <row r="36" spans="31:33" x14ac:dyDescent="0.2">
      <c r="AE36" s="34">
        <v>60</v>
      </c>
      <c r="AF36" s="40">
        <v>2</v>
      </c>
      <c r="AG36" s="34">
        <v>3.25</v>
      </c>
    </row>
    <row r="37" spans="31:33" x14ac:dyDescent="0.2">
      <c r="AE37" s="34">
        <v>70</v>
      </c>
      <c r="AF37" s="40">
        <v>2</v>
      </c>
      <c r="AG37" s="34">
        <v>2.75</v>
      </c>
    </row>
    <row r="38" spans="31:33" x14ac:dyDescent="0.2">
      <c r="AE38" s="34">
        <v>80</v>
      </c>
      <c r="AF38" s="40">
        <v>2</v>
      </c>
      <c r="AG38" s="34">
        <v>2.5</v>
      </c>
    </row>
    <row r="39" spans="31:33" x14ac:dyDescent="0.2">
      <c r="AE39" s="34">
        <v>90</v>
      </c>
      <c r="AF39" s="40">
        <v>2</v>
      </c>
      <c r="AG39" s="34">
        <v>2.25</v>
      </c>
    </row>
    <row r="40" spans="31:33" x14ac:dyDescent="0.2">
      <c r="AE40" s="34">
        <v>100</v>
      </c>
      <c r="AF40" s="40">
        <v>2</v>
      </c>
      <c r="AG40" s="34">
        <v>2</v>
      </c>
    </row>
    <row r="41" spans="31:33" x14ac:dyDescent="0.2">
      <c r="AE41" s="34">
        <v>110</v>
      </c>
      <c r="AF41" s="40">
        <v>2</v>
      </c>
      <c r="AG41" s="34">
        <v>1.75</v>
      </c>
    </row>
    <row r="42" spans="31:33" x14ac:dyDescent="0.2">
      <c r="AE42" s="34">
        <v>120</v>
      </c>
      <c r="AF42" s="40">
        <v>2</v>
      </c>
      <c r="AG42" s="34">
        <v>1.75</v>
      </c>
    </row>
    <row r="43" spans="31:33" x14ac:dyDescent="0.2">
      <c r="AE43" s="34">
        <v>130</v>
      </c>
      <c r="AF43" s="40">
        <v>2</v>
      </c>
      <c r="AG43" s="34">
        <v>1.5</v>
      </c>
    </row>
    <row r="44" spans="31:33" x14ac:dyDescent="0.2">
      <c r="AE44" s="34">
        <v>140</v>
      </c>
      <c r="AF44" s="40">
        <v>2</v>
      </c>
      <c r="AG44" s="34">
        <v>1.5</v>
      </c>
    </row>
    <row r="45" spans="31:33" x14ac:dyDescent="0.2">
      <c r="AE45" s="34">
        <v>150</v>
      </c>
      <c r="AF45" s="40">
        <v>2</v>
      </c>
      <c r="AG45" s="34">
        <v>1.25</v>
      </c>
    </row>
    <row r="46" spans="31:33" x14ac:dyDescent="0.2">
      <c r="AE46" s="34">
        <v>50</v>
      </c>
      <c r="AF46" s="34">
        <v>2.5</v>
      </c>
      <c r="AG46" s="34">
        <v>5</v>
      </c>
    </row>
    <row r="47" spans="31:33" x14ac:dyDescent="0.2">
      <c r="AE47" s="34">
        <v>60</v>
      </c>
      <c r="AF47" s="34">
        <v>2.5</v>
      </c>
      <c r="AG47" s="34">
        <v>4.25</v>
      </c>
    </row>
    <row r="48" spans="31:33" x14ac:dyDescent="0.2">
      <c r="AE48" s="34">
        <v>70</v>
      </c>
      <c r="AF48" s="34">
        <v>2.5</v>
      </c>
      <c r="AG48" s="34">
        <v>3.5</v>
      </c>
    </row>
    <row r="49" spans="31:33" x14ac:dyDescent="0.2">
      <c r="AE49" s="34">
        <v>80</v>
      </c>
      <c r="AF49" s="34">
        <v>2.5</v>
      </c>
      <c r="AG49" s="34">
        <v>3.25</v>
      </c>
    </row>
    <row r="50" spans="31:33" x14ac:dyDescent="0.2">
      <c r="AE50" s="34">
        <v>90</v>
      </c>
      <c r="AF50" s="34">
        <v>2.5</v>
      </c>
      <c r="AG50" s="34">
        <v>2.75</v>
      </c>
    </row>
    <row r="51" spans="31:33" x14ac:dyDescent="0.2">
      <c r="AE51" s="34">
        <v>100</v>
      </c>
      <c r="AF51" s="34">
        <v>2.5</v>
      </c>
      <c r="AG51" s="34">
        <v>2.5</v>
      </c>
    </row>
    <row r="52" spans="31:33" x14ac:dyDescent="0.2">
      <c r="AE52" s="34">
        <v>110</v>
      </c>
      <c r="AF52" s="34">
        <v>2.5</v>
      </c>
      <c r="AG52" s="34">
        <v>2.25</v>
      </c>
    </row>
    <row r="53" spans="31:33" x14ac:dyDescent="0.2">
      <c r="AE53" s="34">
        <v>120</v>
      </c>
      <c r="AF53" s="34">
        <v>2.5</v>
      </c>
      <c r="AG53" s="34">
        <v>2</v>
      </c>
    </row>
    <row r="54" spans="31:33" x14ac:dyDescent="0.2">
      <c r="AE54" s="34">
        <v>130</v>
      </c>
      <c r="AF54" s="34">
        <v>2.5</v>
      </c>
      <c r="AG54" s="34">
        <v>2</v>
      </c>
    </row>
    <row r="55" spans="31:33" x14ac:dyDescent="0.2">
      <c r="AE55" s="34">
        <v>140</v>
      </c>
      <c r="AF55" s="34">
        <v>2.5</v>
      </c>
      <c r="AG55" s="34">
        <v>1.75</v>
      </c>
    </row>
    <row r="56" spans="31:33" x14ac:dyDescent="0.2">
      <c r="AE56" s="34">
        <v>150</v>
      </c>
      <c r="AF56" s="34">
        <v>2.5</v>
      </c>
      <c r="AG56" s="34">
        <v>1.75</v>
      </c>
    </row>
    <row r="57" spans="31:33" x14ac:dyDescent="0.2">
      <c r="AE57" s="34">
        <v>50</v>
      </c>
      <c r="AF57" s="40">
        <v>3</v>
      </c>
      <c r="AG57" s="34">
        <v>6</v>
      </c>
    </row>
    <row r="58" spans="31:33" x14ac:dyDescent="0.2">
      <c r="AE58" s="34">
        <v>60</v>
      </c>
      <c r="AF58" s="40">
        <v>3</v>
      </c>
      <c r="AG58" s="34">
        <v>5</v>
      </c>
    </row>
    <row r="59" spans="31:33" x14ac:dyDescent="0.2">
      <c r="AE59" s="34">
        <v>70</v>
      </c>
      <c r="AF59" s="40">
        <v>3</v>
      </c>
      <c r="AG59" s="34">
        <v>4.25</v>
      </c>
    </row>
    <row r="60" spans="31:33" x14ac:dyDescent="0.2">
      <c r="AE60" s="34">
        <v>80</v>
      </c>
      <c r="AF60" s="40">
        <v>3</v>
      </c>
      <c r="AG60" s="34">
        <v>3.75</v>
      </c>
    </row>
    <row r="61" spans="31:33" x14ac:dyDescent="0.2">
      <c r="AE61" s="34">
        <v>90</v>
      </c>
      <c r="AF61" s="40">
        <v>3</v>
      </c>
      <c r="AG61" s="34">
        <v>3.25</v>
      </c>
    </row>
    <row r="62" spans="31:33" x14ac:dyDescent="0.2">
      <c r="AE62" s="34">
        <v>100</v>
      </c>
      <c r="AF62" s="40">
        <v>3</v>
      </c>
      <c r="AG62" s="34">
        <v>3</v>
      </c>
    </row>
    <row r="63" spans="31:33" x14ac:dyDescent="0.2">
      <c r="AE63" s="34">
        <v>110</v>
      </c>
      <c r="AF63" s="40">
        <v>3</v>
      </c>
      <c r="AG63" s="34">
        <v>2.75</v>
      </c>
    </row>
    <row r="64" spans="31:33" x14ac:dyDescent="0.2">
      <c r="AE64" s="34">
        <v>120</v>
      </c>
      <c r="AF64" s="40">
        <v>3</v>
      </c>
      <c r="AG64" s="34">
        <v>2.5</v>
      </c>
    </row>
    <row r="65" spans="31:33" x14ac:dyDescent="0.2">
      <c r="AE65" s="34">
        <v>130</v>
      </c>
      <c r="AF65" s="40">
        <v>3</v>
      </c>
      <c r="AG65" s="34">
        <v>2.25</v>
      </c>
    </row>
    <row r="66" spans="31:33" x14ac:dyDescent="0.2">
      <c r="AE66" s="34">
        <v>140</v>
      </c>
      <c r="AF66" s="40">
        <v>3</v>
      </c>
      <c r="AG66" s="34">
        <v>2.25</v>
      </c>
    </row>
    <row r="67" spans="31:33" x14ac:dyDescent="0.2">
      <c r="AE67" s="34">
        <v>150</v>
      </c>
      <c r="AF67" s="40">
        <v>3</v>
      </c>
      <c r="AG67" s="34">
        <v>2</v>
      </c>
    </row>
    <row r="68" spans="31:33" x14ac:dyDescent="0.2">
      <c r="AE68" s="34">
        <v>50</v>
      </c>
      <c r="AF68" s="34">
        <v>3.5</v>
      </c>
      <c r="AG68" s="34">
        <v>7</v>
      </c>
    </row>
    <row r="69" spans="31:33" x14ac:dyDescent="0.2">
      <c r="AE69" s="34">
        <v>60</v>
      </c>
      <c r="AF69" s="34">
        <v>3.5</v>
      </c>
      <c r="AG69" s="34">
        <v>5.75</v>
      </c>
    </row>
    <row r="70" spans="31:33" x14ac:dyDescent="0.2">
      <c r="AE70" s="34">
        <v>70</v>
      </c>
      <c r="AF70" s="34">
        <v>3.5</v>
      </c>
      <c r="AG70" s="34">
        <v>5</v>
      </c>
    </row>
    <row r="71" spans="31:33" x14ac:dyDescent="0.2">
      <c r="AE71" s="34">
        <v>80</v>
      </c>
      <c r="AF71" s="34">
        <v>3.5</v>
      </c>
      <c r="AG71" s="34">
        <v>4.5</v>
      </c>
    </row>
    <row r="72" spans="31:33" x14ac:dyDescent="0.2">
      <c r="AE72" s="34">
        <v>90</v>
      </c>
      <c r="AF72" s="34">
        <v>3.5</v>
      </c>
      <c r="AG72" s="34">
        <v>4</v>
      </c>
    </row>
    <row r="73" spans="31:33" x14ac:dyDescent="0.2">
      <c r="AE73" s="34">
        <v>100</v>
      </c>
      <c r="AF73" s="34">
        <v>3.5</v>
      </c>
      <c r="AG73" s="34">
        <v>3.5</v>
      </c>
    </row>
    <row r="74" spans="31:33" x14ac:dyDescent="0.2">
      <c r="AE74" s="34">
        <v>110</v>
      </c>
      <c r="AF74" s="34">
        <v>3.5</v>
      </c>
      <c r="AG74" s="34">
        <v>3.25</v>
      </c>
    </row>
    <row r="75" spans="31:33" x14ac:dyDescent="0.2">
      <c r="AE75" s="34">
        <v>120</v>
      </c>
      <c r="AF75" s="34">
        <v>3.5</v>
      </c>
      <c r="AG75" s="34">
        <v>3</v>
      </c>
    </row>
    <row r="76" spans="31:33" x14ac:dyDescent="0.2">
      <c r="AE76" s="34">
        <v>130</v>
      </c>
      <c r="AF76" s="34">
        <v>3.5</v>
      </c>
      <c r="AG76" s="34">
        <v>2.75</v>
      </c>
    </row>
    <row r="77" spans="31:33" x14ac:dyDescent="0.2">
      <c r="AE77" s="34">
        <v>140</v>
      </c>
      <c r="AF77" s="34">
        <v>3.5</v>
      </c>
      <c r="AG77" s="34">
        <v>2.5</v>
      </c>
    </row>
    <row r="78" spans="31:33" x14ac:dyDescent="0.2">
      <c r="AE78" s="34">
        <v>150</v>
      </c>
      <c r="AF78" s="34">
        <v>3.5</v>
      </c>
      <c r="AG78" s="34">
        <v>2.25</v>
      </c>
    </row>
    <row r="79" spans="31:33" x14ac:dyDescent="0.2">
      <c r="AE79" s="34">
        <v>50</v>
      </c>
      <c r="AF79" s="40">
        <v>4</v>
      </c>
      <c r="AG79" s="34">
        <v>8</v>
      </c>
    </row>
    <row r="80" spans="31:33" x14ac:dyDescent="0.2">
      <c r="AE80" s="34">
        <v>60</v>
      </c>
      <c r="AF80" s="40">
        <v>4</v>
      </c>
      <c r="AG80" s="34">
        <v>6.75</v>
      </c>
    </row>
    <row r="81" spans="31:33" x14ac:dyDescent="0.2">
      <c r="AE81" s="34">
        <v>70</v>
      </c>
      <c r="AF81" s="40">
        <v>4</v>
      </c>
      <c r="AG81" s="34">
        <v>5.75</v>
      </c>
    </row>
    <row r="82" spans="31:33" x14ac:dyDescent="0.2">
      <c r="AE82" s="34">
        <v>80</v>
      </c>
      <c r="AF82" s="40">
        <v>4</v>
      </c>
      <c r="AG82" s="34">
        <v>5</v>
      </c>
    </row>
    <row r="83" spans="31:33" x14ac:dyDescent="0.2">
      <c r="AE83" s="34">
        <v>90</v>
      </c>
      <c r="AF83" s="40">
        <v>4</v>
      </c>
      <c r="AG83" s="34">
        <v>4.5</v>
      </c>
    </row>
    <row r="84" spans="31:33" x14ac:dyDescent="0.2">
      <c r="AE84" s="34">
        <v>100</v>
      </c>
      <c r="AF84" s="40">
        <v>4</v>
      </c>
      <c r="AG84" s="34">
        <v>4</v>
      </c>
    </row>
    <row r="85" spans="31:33" x14ac:dyDescent="0.2">
      <c r="AE85" s="34">
        <v>110</v>
      </c>
      <c r="AF85" s="40">
        <v>4</v>
      </c>
      <c r="AG85" s="34">
        <v>3.75</v>
      </c>
    </row>
    <row r="86" spans="31:33" x14ac:dyDescent="0.2">
      <c r="AE86" s="34">
        <v>120</v>
      </c>
      <c r="AF86" s="40">
        <v>4</v>
      </c>
      <c r="AG86" s="34">
        <v>3.25</v>
      </c>
    </row>
    <row r="87" spans="31:33" x14ac:dyDescent="0.2">
      <c r="AE87" s="34">
        <v>130</v>
      </c>
      <c r="AF87" s="40">
        <v>4</v>
      </c>
      <c r="AG87" s="34">
        <v>3</v>
      </c>
    </row>
    <row r="88" spans="31:33" x14ac:dyDescent="0.2">
      <c r="AE88" s="34">
        <v>140</v>
      </c>
      <c r="AF88" s="40">
        <v>4</v>
      </c>
      <c r="AG88" s="34">
        <v>2.75</v>
      </c>
    </row>
    <row r="89" spans="31:33" x14ac:dyDescent="0.2">
      <c r="AE89" s="34">
        <v>150</v>
      </c>
      <c r="AF89" s="40">
        <v>4</v>
      </c>
      <c r="AG89" s="34">
        <v>2.75</v>
      </c>
    </row>
  </sheetData>
  <sheetProtection algorithmName="SHA-512" hashValue="TYodIIPdtzCj4EfOmFmMSnKjqR55D5BXirK3VtSWW5R7x4C0GtiQUY60wexcIExGhOKgKnium7lGq6gkI6UY7g==" saltValue="f+ZfIx+qw7U4T3rCyOFEGg==" spinCount="100000" sheet="1" objects="1" scenarios="1"/>
  <customSheetViews>
    <customSheetView guid="{D920D7F4-8119-6443-BB94-D0BB6CD1A76A}" scale="200" showGridLines="0" hiddenColumns="1">
      <selection activeCell="G4" sqref="G4:H4"/>
      <pageMargins left="0.7" right="0.7" top="0.75" bottom="0.75" header="0.3" footer="0.3"/>
      <pageSetup orientation="portrait"/>
    </customSheetView>
  </customSheetViews>
  <mergeCells count="23">
    <mergeCell ref="G18:H20"/>
    <mergeCell ref="I9:I10"/>
    <mergeCell ref="G10:H10"/>
    <mergeCell ref="C12:C13"/>
    <mergeCell ref="G12:H12"/>
    <mergeCell ref="I12:I13"/>
    <mergeCell ref="G13:H13"/>
    <mergeCell ref="B1:C2"/>
    <mergeCell ref="G2:H2"/>
    <mergeCell ref="E3:E16"/>
    <mergeCell ref="G3:H3"/>
    <mergeCell ref="I3:I4"/>
    <mergeCell ref="G4:H4"/>
    <mergeCell ref="C6:C7"/>
    <mergeCell ref="G6:H6"/>
    <mergeCell ref="I6:I7"/>
    <mergeCell ref="G7:H7"/>
    <mergeCell ref="C15:C16"/>
    <mergeCell ref="G15:H15"/>
    <mergeCell ref="I15:I16"/>
    <mergeCell ref="G16:H16"/>
    <mergeCell ref="C9:C10"/>
    <mergeCell ref="G9:H9"/>
  </mergeCells>
  <conditionalFormatting sqref="I3:I4">
    <cfRule type="expression" dxfId="5" priority="6">
      <formula>$A$7=$C$6</formula>
    </cfRule>
  </conditionalFormatting>
  <conditionalFormatting sqref="I6:I7">
    <cfRule type="expression" dxfId="4" priority="5">
      <formula>$A$7=$C$6</formula>
    </cfRule>
  </conditionalFormatting>
  <conditionalFormatting sqref="I15:I16 I9:I10">
    <cfRule type="expression" dxfId="3" priority="4">
      <formula>$A$16=$C$15</formula>
    </cfRule>
  </conditionalFormatting>
  <conditionalFormatting sqref="I12:I13">
    <cfRule type="expression" dxfId="2" priority="3">
      <formula>$A$16=$C$15</formula>
    </cfRule>
  </conditionalFormatting>
  <conditionalFormatting sqref="E3:E16">
    <cfRule type="expression" dxfId="1" priority="1">
      <formula>$C$9=$A$10</formula>
    </cfRule>
    <cfRule type="containsText" dxfId="0" priority="2" operator="containsText" text="lime">
      <formula>NOT(ISERROR(SEARCH("lime",E3)))</formula>
    </cfRule>
  </conditionalFormatting>
  <dataValidations count="2">
    <dataValidation type="list" allowBlank="1" showInputMessage="1" showErrorMessage="1" sqref="C9:C10" xr:uid="{00000000-0002-0000-0300-000000000000}">
      <formula1>$R$3:$R$5</formula1>
    </dataValidation>
    <dataValidation type="list" allowBlank="1" showInputMessage="1" showErrorMessage="1" sqref="D9:D10" xr:uid="{00000000-0002-0000-0300-000001000000}">
      <formula1>$R$3:$R$6</formula1>
    </dataValidation>
  </dataValidations>
  <pageMargins left="0.7" right="0.7" top="0.75" bottom="0.75" header="0.3" footer="0.3"/>
  <pageSetup orientation="portrait"/>
  <ignoredErrors>
    <ignoredError sqref="E3 I6 I9 I12 I15" evalError="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Cool-Season Lawns (Fertilizer)</vt:lpstr>
      <vt:lpstr>Warm-Season Lawns (Fertilizer)</vt:lpstr>
      <vt:lpstr>Lime</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hub72337</dc:creator>
  <cp:lastModifiedBy>Greiner, Lori</cp:lastModifiedBy>
  <dcterms:created xsi:type="dcterms:W3CDTF">2017-10-11T11:34:08Z</dcterms:created>
  <dcterms:modified xsi:type="dcterms:W3CDTF">2018-11-19T13:35:53Z</dcterms:modified>
</cp:coreProperties>
</file>