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autoCompressPictures="0"/>
  <mc:AlternateContent xmlns:mc="http://schemas.openxmlformats.org/markup-compatibility/2006">
    <mc:Choice Requires="x15">
      <x15ac:absPath xmlns:x15ac="http://schemas.microsoft.com/office/spreadsheetml/2010/11/ac" url="/Users/lgreiner/Documents/publications/"/>
    </mc:Choice>
  </mc:AlternateContent>
  <xr:revisionPtr revIDLastSave="0" documentId="13_ncr:1_{9E78AC0F-C2CD-B541-B9E5-69668FA95B7C}" xr6:coauthVersionLast="47" xr6:coauthVersionMax="47" xr10:uidLastSave="{00000000-0000-0000-0000-000000000000}"/>
  <bookViews>
    <workbookView xWindow="3440" yWindow="1720" windowWidth="37660" windowHeight="25000" xr2:uid="{00000000-000D-0000-FFFF-FFFF00000000}"/>
  </bookViews>
  <sheets>
    <sheet name="Start here" sheetId="20" r:id="rId1"/>
    <sheet name="Menu" sheetId="21" r:id="rId2"/>
    <sheet name="Calculator" sheetId="14" r:id="rId3"/>
    <sheet name=" Trellis " sheetId="15" r:id="rId4"/>
    <sheet name="Equipment " sheetId="16" r:id="rId5"/>
    <sheet name="Budget" sheetId="18" r:id="rId6"/>
    <sheet name="Net Present Value" sheetId="23" r:id="rId7"/>
    <sheet name="Sensitivity analysis" sheetId="24" r:id="rId8"/>
  </sheets>
  <externalReferences>
    <externalReference r:id="rId9"/>
  </externalReferences>
  <definedNames>
    <definedName name="_Vsource">[1]ValidLists!$J$7:$J$31</definedName>
    <definedName name="ApplyUnits">[1]ValidLists!$P$7:$P$14</definedName>
    <definedName name="CoC_Discountrate">Calculator!$C$16</definedName>
    <definedName name="ConvertTable">[1]ValidLists!$Q$7:$X$14</definedName>
    <definedName name="Crop_level">Calculator!$C$10</definedName>
    <definedName name="Labor_hours">Calculator!$C$13</definedName>
    <definedName name="Measures">[1]ValidLists!$P$7:$P$19</definedName>
    <definedName name="row_length">Calculator!$C$6</definedName>
    <definedName name="row_width">Calculator!$C$4</definedName>
    <definedName name="SaleUnits">[1]ValidLists!$Q$6:$X$6</definedName>
    <definedName name="vine_spacing">Calculator!$D$4</definedName>
    <definedName name="VineCost">'[1]What If'!$B$36</definedName>
    <definedName name="vines">[1]trellis!$B$19</definedName>
    <definedName name="Vineyard_size">Calculator!$C$9</definedName>
  </definedNames>
  <calcPr calcId="191029" concurrentCalc="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66" i="16" l="1"/>
  <c r="C206" i="21"/>
  <c r="B206" i="21"/>
  <c r="H21" i="18"/>
  <c r="L21" i="18"/>
  <c r="N21" i="18"/>
  <c r="G48" i="16"/>
  <c r="F45" i="16"/>
  <c r="C45" i="16"/>
  <c r="F7" i="16"/>
  <c r="F6" i="16"/>
  <c r="F5" i="16"/>
  <c r="F4" i="16"/>
  <c r="F3" i="16"/>
  <c r="B77" i="15"/>
  <c r="B75" i="15"/>
  <c r="B55" i="15"/>
  <c r="B54" i="15"/>
  <c r="B53" i="15"/>
  <c r="B52" i="15"/>
  <c r="B59" i="15"/>
  <c r="B49" i="15"/>
  <c r="B47" i="15"/>
  <c r="B36" i="15"/>
  <c r="B46" i="15"/>
  <c r="B70" i="15"/>
  <c r="L7" i="18"/>
  <c r="L8" i="18"/>
  <c r="L9" i="18"/>
  <c r="B68" i="15"/>
  <c r="B79" i="15"/>
  <c r="B37" i="15"/>
  <c r="D3" i="16"/>
  <c r="B45" i="16"/>
  <c r="E4" i="16"/>
  <c r="E5" i="16"/>
  <c r="E45" i="16"/>
  <c r="E6" i="16"/>
  <c r="E7" i="16"/>
  <c r="D45" i="16"/>
  <c r="E8" i="16"/>
  <c r="E10" i="16"/>
  <c r="E9" i="16"/>
  <c r="H45" i="16"/>
  <c r="H48" i="16"/>
  <c r="B13" i="24"/>
  <c r="B12" i="24"/>
  <c r="B11" i="24"/>
  <c r="B8" i="24"/>
  <c r="B9" i="24"/>
  <c r="B7" i="24"/>
  <c r="B10" i="24"/>
  <c r="V7" i="18"/>
  <c r="V8" i="18"/>
  <c r="V9" i="18"/>
  <c r="V21" i="18"/>
  <c r="U7" i="18"/>
  <c r="U8" i="18"/>
  <c r="U9" i="18"/>
  <c r="U21" i="18"/>
  <c r="T7" i="18"/>
  <c r="T8" i="18"/>
  <c r="T9" i="18"/>
  <c r="T21" i="18"/>
  <c r="S7" i="18"/>
  <c r="S8" i="18"/>
  <c r="S9" i="18"/>
  <c r="S21" i="18"/>
  <c r="R7" i="18"/>
  <c r="R8" i="18"/>
  <c r="R9" i="18"/>
  <c r="R21" i="18"/>
  <c r="Q7" i="18"/>
  <c r="Q8" i="18"/>
  <c r="Q9" i="18"/>
  <c r="Q21" i="18"/>
  <c r="P7" i="18"/>
  <c r="P8" i="18"/>
  <c r="P9" i="18"/>
  <c r="P21" i="18"/>
  <c r="O7" i="18"/>
  <c r="O8" i="18"/>
  <c r="O9" i="18"/>
  <c r="O21" i="18"/>
  <c r="N7" i="18"/>
  <c r="N8" i="18"/>
  <c r="N9" i="18"/>
  <c r="M7" i="18"/>
  <c r="M8" i="18"/>
  <c r="M9" i="18"/>
  <c r="M21" i="18"/>
  <c r="K7" i="18"/>
  <c r="K8" i="18"/>
  <c r="K9" i="18"/>
  <c r="K21" i="18"/>
  <c r="J7" i="18"/>
  <c r="J8" i="18"/>
  <c r="J9" i="18"/>
  <c r="J21" i="18"/>
  <c r="I7" i="18"/>
  <c r="I8" i="18"/>
  <c r="I9" i="18"/>
  <c r="I21" i="18"/>
  <c r="H7" i="18"/>
  <c r="H8" i="18"/>
  <c r="H9" i="18"/>
  <c r="G7" i="18"/>
  <c r="G8" i="18"/>
  <c r="G9" i="18"/>
  <c r="G21" i="18"/>
  <c r="F7" i="18"/>
  <c r="F8" i="18"/>
  <c r="F9" i="18"/>
  <c r="F21" i="18"/>
  <c r="E7" i="18"/>
  <c r="E8" i="18"/>
  <c r="E9" i="18"/>
  <c r="E21" i="18"/>
  <c r="D7" i="18"/>
  <c r="D8" i="18"/>
  <c r="D9" i="18"/>
  <c r="C7" i="18"/>
  <c r="C8" i="18"/>
  <c r="C9" i="18"/>
  <c r="B7" i="18"/>
  <c r="B8" i="18"/>
  <c r="E3" i="16"/>
  <c r="C69" i="16"/>
  <c r="F69" i="16"/>
  <c r="D47" i="16"/>
  <c r="D48" i="16"/>
  <c r="C68" i="16"/>
  <c r="E17" i="16"/>
  <c r="B10" i="18"/>
  <c r="B11" i="18"/>
  <c r="B14" i="18"/>
  <c r="B17" i="18"/>
  <c r="D10" i="18"/>
  <c r="D11" i="18"/>
  <c r="D14" i="18"/>
  <c r="D15" i="18"/>
  <c r="E10" i="18"/>
  <c r="E11" i="18"/>
  <c r="E14" i="18"/>
  <c r="E15" i="18"/>
  <c r="F10" i="18"/>
  <c r="F11" i="18"/>
  <c r="F14" i="18"/>
  <c r="F15" i="18"/>
  <c r="G10" i="18"/>
  <c r="G11" i="18"/>
  <c r="G14" i="18"/>
  <c r="G15" i="18"/>
  <c r="H10" i="18"/>
  <c r="H11" i="18"/>
  <c r="H14" i="18"/>
  <c r="H15" i="18"/>
  <c r="I10" i="18"/>
  <c r="I11" i="18"/>
  <c r="I14" i="18"/>
  <c r="I15" i="18"/>
  <c r="J10" i="18"/>
  <c r="J11" i="18"/>
  <c r="J14" i="18"/>
  <c r="J15" i="18"/>
  <c r="K10" i="18"/>
  <c r="K11" i="18"/>
  <c r="K14" i="18"/>
  <c r="K15" i="18"/>
  <c r="M10" i="18"/>
  <c r="M11" i="18"/>
  <c r="M14" i="18"/>
  <c r="M15" i="18"/>
  <c r="N10" i="18"/>
  <c r="N11" i="18"/>
  <c r="N14" i="18"/>
  <c r="N15" i="18"/>
  <c r="O10" i="18"/>
  <c r="O11" i="18"/>
  <c r="O14" i="18"/>
  <c r="O15" i="18"/>
  <c r="P10" i="18"/>
  <c r="P11" i="18"/>
  <c r="P14" i="18"/>
  <c r="P15" i="18"/>
  <c r="Q10" i="18"/>
  <c r="Q11" i="18"/>
  <c r="Q14" i="18"/>
  <c r="Q15" i="18"/>
  <c r="R10" i="18"/>
  <c r="R11" i="18"/>
  <c r="R14" i="18"/>
  <c r="R15" i="18"/>
  <c r="S10" i="18"/>
  <c r="S11" i="18"/>
  <c r="S14" i="18"/>
  <c r="S15" i="18"/>
  <c r="T10" i="18"/>
  <c r="T11" i="18"/>
  <c r="T14" i="18"/>
  <c r="T15" i="18"/>
  <c r="U10" i="18"/>
  <c r="U11" i="18"/>
  <c r="U14" i="18"/>
  <c r="U15" i="18"/>
  <c r="V10" i="18"/>
  <c r="V11" i="18"/>
  <c r="V14" i="18"/>
  <c r="V15" i="18"/>
  <c r="C10" i="18"/>
  <c r="C11" i="18"/>
  <c r="C14" i="18"/>
  <c r="L10" i="18"/>
  <c r="L11" i="18"/>
  <c r="L14" i="18"/>
  <c r="L15" i="18"/>
  <c r="B64" i="15"/>
  <c r="B71" i="15"/>
  <c r="B38" i="15"/>
  <c r="B40" i="15"/>
  <c r="B42" i="15"/>
  <c r="B48" i="15"/>
  <c r="B50" i="15"/>
  <c r="B51" i="15"/>
  <c r="B60" i="15"/>
  <c r="B65" i="15"/>
  <c r="C67" i="16"/>
  <c r="F67" i="16"/>
  <c r="B47" i="16"/>
  <c r="B48" i="16"/>
  <c r="C70" i="16"/>
  <c r="F70" i="16"/>
  <c r="E47" i="16"/>
  <c r="E48" i="16"/>
  <c r="F68" i="16"/>
  <c r="C47" i="16"/>
  <c r="C48" i="16"/>
  <c r="C71" i="16"/>
  <c r="F71" i="16"/>
  <c r="F47" i="16"/>
  <c r="F48" i="16"/>
  <c r="B15" i="18"/>
  <c r="B16" i="18"/>
  <c r="C5" i="14"/>
  <c r="B69" i="15"/>
  <c r="B72" i="15"/>
  <c r="B73" i="15"/>
  <c r="B74" i="15"/>
  <c r="J22" i="18"/>
  <c r="J23" i="18"/>
  <c r="J24" i="18"/>
  <c r="J25" i="18"/>
  <c r="J28" i="18"/>
  <c r="J29" i="18"/>
  <c r="J32" i="18"/>
  <c r="R22" i="18"/>
  <c r="R23" i="18"/>
  <c r="R24" i="18"/>
  <c r="R25" i="18"/>
  <c r="R28" i="18"/>
  <c r="R29" i="18"/>
  <c r="M22" i="18"/>
  <c r="M23" i="18"/>
  <c r="M24" i="18"/>
  <c r="M25" i="18"/>
  <c r="M28" i="18"/>
  <c r="M29" i="18"/>
  <c r="E22" i="18"/>
  <c r="E23" i="18"/>
  <c r="E24" i="18"/>
  <c r="E25" i="18"/>
  <c r="E28" i="18"/>
  <c r="E29" i="18"/>
  <c r="B63" i="15"/>
  <c r="V22" i="18"/>
  <c r="V23" i="18"/>
  <c r="V24" i="18"/>
  <c r="V25" i="18"/>
  <c r="V28" i="18"/>
  <c r="V29" i="18"/>
  <c r="D22" i="18"/>
  <c r="D23" i="18"/>
  <c r="D24" i="18"/>
  <c r="D25" i="18"/>
  <c r="D28" i="18"/>
  <c r="D29" i="18"/>
  <c r="D32" i="18"/>
  <c r="B22" i="18"/>
  <c r="B23" i="18"/>
  <c r="B24" i="18"/>
  <c r="B25" i="18"/>
  <c r="B28" i="18"/>
  <c r="B29" i="18"/>
  <c r="P22" i="18"/>
  <c r="P23" i="18"/>
  <c r="P24" i="18"/>
  <c r="P25" i="18"/>
  <c r="P28" i="18"/>
  <c r="P29" i="18"/>
  <c r="K22" i="18"/>
  <c r="K23" i="18"/>
  <c r="K24" i="18"/>
  <c r="K25" i="18"/>
  <c r="K28" i="18"/>
  <c r="K29" i="18"/>
  <c r="G22" i="18"/>
  <c r="G23" i="18"/>
  <c r="G24" i="18"/>
  <c r="G25" i="18"/>
  <c r="G28" i="18"/>
  <c r="G29" i="18"/>
  <c r="H22" i="18"/>
  <c r="H23" i="18"/>
  <c r="H24" i="18"/>
  <c r="H25" i="18"/>
  <c r="H28" i="18"/>
  <c r="H29" i="18"/>
  <c r="H32" i="18"/>
  <c r="S22" i="18"/>
  <c r="S23" i="18"/>
  <c r="S24" i="18"/>
  <c r="S25" i="18"/>
  <c r="S28" i="18"/>
  <c r="S29" i="18"/>
  <c r="O22" i="18"/>
  <c r="O23" i="18"/>
  <c r="O24" i="18"/>
  <c r="O25" i="18"/>
  <c r="O28" i="18"/>
  <c r="O29" i="18"/>
  <c r="B30" i="18"/>
  <c r="B78" i="15"/>
  <c r="B76" i="15"/>
  <c r="B80" i="15"/>
  <c r="D82" i="15"/>
  <c r="B89" i="15"/>
  <c r="B92" i="15"/>
  <c r="M32" i="18"/>
  <c r="P32" i="18"/>
  <c r="K32" i="18"/>
  <c r="G32" i="18"/>
  <c r="B33" i="18"/>
  <c r="B18" i="18"/>
  <c r="S32" i="18"/>
  <c r="O32" i="18"/>
  <c r="B31" i="18"/>
  <c r="V32" i="18"/>
  <c r="R32" i="18"/>
  <c r="I22" i="18"/>
  <c r="I23" i="18"/>
  <c r="I24" i="18"/>
  <c r="I25" i="18"/>
  <c r="I28" i="18"/>
  <c r="I29" i="18"/>
  <c r="I32" i="18"/>
  <c r="E32" i="18"/>
  <c r="F22" i="18"/>
  <c r="F23" i="18"/>
  <c r="F24" i="18"/>
  <c r="F25" i="18"/>
  <c r="F28" i="18"/>
  <c r="F29" i="18"/>
  <c r="F32" i="18"/>
  <c r="C22" i="18"/>
  <c r="C23" i="18"/>
  <c r="C24" i="18"/>
  <c r="C25" i="18"/>
  <c r="C28" i="18"/>
  <c r="C29" i="18"/>
  <c r="I30" i="18"/>
  <c r="C11" i="14"/>
  <c r="T22" i="18"/>
  <c r="T23" i="18"/>
  <c r="T24" i="18"/>
  <c r="T25" i="18"/>
  <c r="T28" i="18"/>
  <c r="T29" i="18"/>
  <c r="T32" i="18"/>
  <c r="L22" i="18"/>
  <c r="L23" i="18"/>
  <c r="L24" i="18"/>
  <c r="L25" i="18"/>
  <c r="L28" i="18"/>
  <c r="L29" i="18"/>
  <c r="L32" i="18"/>
  <c r="B51" i="16"/>
  <c r="N22" i="18"/>
  <c r="N23" i="18"/>
  <c r="N24" i="18"/>
  <c r="N25" i="18"/>
  <c r="N28" i="18"/>
  <c r="N29" i="18"/>
  <c r="N32" i="18"/>
  <c r="U22" i="18"/>
  <c r="U23" i="18"/>
  <c r="U24" i="18"/>
  <c r="U25" i="18"/>
  <c r="U28" i="18"/>
  <c r="U29" i="18"/>
  <c r="U32" i="18"/>
  <c r="Q22" i="18"/>
  <c r="Q23" i="18"/>
  <c r="Q24" i="18"/>
  <c r="Q25" i="18"/>
  <c r="Q28" i="18"/>
  <c r="Q29" i="18"/>
  <c r="Q32" i="18"/>
  <c r="B32" i="18"/>
  <c r="E13" i="18"/>
  <c r="E17" i="18"/>
  <c r="E33" i="18"/>
  <c r="B8" i="23"/>
  <c r="C8" i="23"/>
  <c r="U13" i="18"/>
  <c r="U17" i="18"/>
  <c r="U33" i="18"/>
  <c r="B24" i="23"/>
  <c r="C24" i="23"/>
  <c r="R13" i="18"/>
  <c r="R17" i="18"/>
  <c r="R33" i="18"/>
  <c r="B21" i="23"/>
  <c r="C21" i="23"/>
  <c r="O13" i="18"/>
  <c r="O17" i="18"/>
  <c r="O33" i="18"/>
  <c r="B18" i="23"/>
  <c r="C18" i="23"/>
  <c r="H13" i="18"/>
  <c r="H17" i="18"/>
  <c r="H33" i="18"/>
  <c r="B11" i="23"/>
  <c r="C11" i="23"/>
  <c r="M13" i="18"/>
  <c r="M17" i="18"/>
  <c r="M33" i="18"/>
  <c r="B16" i="23"/>
  <c r="C16" i="23"/>
  <c r="N13" i="18"/>
  <c r="N17" i="18"/>
  <c r="N33" i="18"/>
  <c r="B17" i="23"/>
  <c r="C17" i="23"/>
  <c r="S13" i="18"/>
  <c r="S17" i="18"/>
  <c r="S33" i="18"/>
  <c r="B22" i="23"/>
  <c r="C22" i="23"/>
  <c r="P13" i="18"/>
  <c r="P17" i="18"/>
  <c r="P33" i="18"/>
  <c r="B19" i="23"/>
  <c r="C19" i="23"/>
  <c r="I13" i="18"/>
  <c r="I17" i="18"/>
  <c r="I33" i="18"/>
  <c r="B12" i="23"/>
  <c r="C12" i="23"/>
  <c r="V13" i="18"/>
  <c r="V17" i="18"/>
  <c r="V33" i="18"/>
  <c r="B25" i="23"/>
  <c r="C25" i="23"/>
  <c r="D13" i="18"/>
  <c r="D17" i="18"/>
  <c r="D33" i="18"/>
  <c r="B7" i="23"/>
  <c r="C7" i="23"/>
  <c r="Q13" i="18"/>
  <c r="Q17" i="18"/>
  <c r="Q33" i="18"/>
  <c r="B20" i="23"/>
  <c r="C20" i="23"/>
  <c r="G13" i="18"/>
  <c r="G17" i="18"/>
  <c r="G33" i="18"/>
  <c r="B10" i="23"/>
  <c r="C10" i="23"/>
  <c r="L13" i="18"/>
  <c r="L17" i="18"/>
  <c r="L33" i="18"/>
  <c r="B15" i="23"/>
  <c r="C15" i="23"/>
  <c r="F13" i="18"/>
  <c r="F17" i="18"/>
  <c r="F33" i="18"/>
  <c r="B9" i="23"/>
  <c r="C9" i="23"/>
  <c r="K13" i="18"/>
  <c r="K17" i="18"/>
  <c r="K33" i="18"/>
  <c r="B14" i="23"/>
  <c r="C14" i="23"/>
  <c r="T13" i="18"/>
  <c r="T17" i="18"/>
  <c r="T33" i="18"/>
  <c r="B23" i="23"/>
  <c r="C23" i="23"/>
  <c r="J13" i="18"/>
  <c r="J17" i="18"/>
  <c r="J33" i="18"/>
  <c r="B13" i="23"/>
  <c r="C13" i="23"/>
  <c r="C13" i="18"/>
  <c r="C17" i="18"/>
  <c r="U30" i="18"/>
  <c r="C30" i="18"/>
  <c r="B5" i="23"/>
  <c r="B34" i="18"/>
  <c r="D30" i="18"/>
  <c r="V30" i="18"/>
  <c r="L6" i="24"/>
  <c r="J6" i="24"/>
  <c r="C6" i="24"/>
  <c r="D6" i="24"/>
  <c r="K6" i="24"/>
  <c r="E6" i="24"/>
  <c r="F6" i="24"/>
  <c r="H6" i="24"/>
  <c r="M6" i="24"/>
  <c r="I6" i="24"/>
  <c r="G6" i="24"/>
  <c r="T30" i="18"/>
  <c r="G30" i="18"/>
  <c r="P30" i="18"/>
  <c r="J30" i="18"/>
  <c r="S30" i="18"/>
  <c r="K30" i="18"/>
  <c r="N30" i="18"/>
  <c r="Q30" i="18"/>
  <c r="E30" i="18"/>
  <c r="M30" i="18"/>
  <c r="L30" i="18"/>
  <c r="R30" i="18"/>
  <c r="O30" i="18"/>
  <c r="H30" i="18"/>
  <c r="C12" i="18"/>
  <c r="C15" i="18"/>
  <c r="F30" i="18"/>
  <c r="T16" i="18"/>
  <c r="T31" i="18"/>
  <c r="F16" i="18"/>
  <c r="F31" i="18"/>
  <c r="G16" i="18"/>
  <c r="G31" i="18"/>
  <c r="Q16" i="18"/>
  <c r="Q31" i="18"/>
  <c r="U16" i="18"/>
  <c r="U31" i="18"/>
  <c r="J16" i="18"/>
  <c r="J31" i="18"/>
  <c r="M16" i="18"/>
  <c r="M31" i="18"/>
  <c r="R16" i="18"/>
  <c r="R31" i="18"/>
  <c r="S16" i="18"/>
  <c r="S31" i="18"/>
  <c r="N16" i="18"/>
  <c r="N31" i="18"/>
  <c r="P16" i="18"/>
  <c r="P31" i="18"/>
  <c r="K16" i="18"/>
  <c r="K31" i="18"/>
  <c r="O16" i="18"/>
  <c r="O31" i="18"/>
  <c r="E16" i="18"/>
  <c r="E31" i="18"/>
  <c r="I16" i="18"/>
  <c r="I31" i="18"/>
  <c r="C16" i="18"/>
  <c r="C31" i="18"/>
  <c r="D16" i="18"/>
  <c r="D31" i="18"/>
  <c r="L16" i="18"/>
  <c r="L31" i="18"/>
  <c r="H16" i="18"/>
  <c r="H31" i="18"/>
  <c r="C32" i="18"/>
  <c r="V16" i="18"/>
  <c r="V31" i="18"/>
  <c r="I7" i="24"/>
  <c r="I10" i="24"/>
  <c r="I9" i="24"/>
  <c r="I12" i="24"/>
  <c r="I13" i="24"/>
  <c r="I11" i="24"/>
  <c r="I8" i="24"/>
  <c r="E12" i="24"/>
  <c r="E13" i="24"/>
  <c r="E9" i="24"/>
  <c r="E11" i="24"/>
  <c r="E10" i="24"/>
  <c r="E7" i="24"/>
  <c r="E8" i="24"/>
  <c r="J8" i="24"/>
  <c r="J12" i="24"/>
  <c r="J13" i="24"/>
  <c r="J9" i="24"/>
  <c r="J10" i="24"/>
  <c r="J7" i="24"/>
  <c r="J11" i="24"/>
  <c r="P18" i="18"/>
  <c r="K18" i="18"/>
  <c r="C33" i="18"/>
  <c r="E18" i="18"/>
  <c r="Q18" i="18"/>
  <c r="L18" i="18"/>
  <c r="R18" i="18"/>
  <c r="V18" i="18"/>
  <c r="D18" i="18"/>
  <c r="H18" i="18"/>
  <c r="M18" i="18"/>
  <c r="J18" i="18"/>
  <c r="G18" i="18"/>
  <c r="I18" i="18"/>
  <c r="O18" i="18"/>
  <c r="F18" i="18"/>
  <c r="C18" i="18"/>
  <c r="N18" i="18"/>
  <c r="U18" i="18"/>
  <c r="T18" i="18"/>
  <c r="S18" i="18"/>
  <c r="M10" i="24"/>
  <c r="M8" i="24"/>
  <c r="M7" i="24"/>
  <c r="M13" i="24"/>
  <c r="M12" i="24"/>
  <c r="M9" i="24"/>
  <c r="M11" i="24"/>
  <c r="K13" i="24"/>
  <c r="K10" i="24"/>
  <c r="K8" i="24"/>
  <c r="K9" i="24"/>
  <c r="K11" i="24"/>
  <c r="K12" i="24"/>
  <c r="K7" i="24"/>
  <c r="L8" i="24"/>
  <c r="L12" i="24"/>
  <c r="L11" i="24"/>
  <c r="L7" i="24"/>
  <c r="L13" i="24"/>
  <c r="L9" i="24"/>
  <c r="L10" i="24"/>
  <c r="C5" i="23"/>
  <c r="H8" i="24"/>
  <c r="H10" i="24"/>
  <c r="H7" i="24"/>
  <c r="H12" i="24"/>
  <c r="H9" i="24"/>
  <c r="H11" i="24"/>
  <c r="H13" i="24"/>
  <c r="D11" i="24"/>
  <c r="D12" i="24"/>
  <c r="D13" i="24"/>
  <c r="D9" i="24"/>
  <c r="D8" i="24"/>
  <c r="D10" i="24"/>
  <c r="D7" i="24"/>
  <c r="G12" i="24"/>
  <c r="G10" i="24"/>
  <c r="G7" i="24"/>
  <c r="G13" i="24"/>
  <c r="G9" i="24"/>
  <c r="G8" i="24"/>
  <c r="G11" i="24"/>
  <c r="F13" i="24"/>
  <c r="F10" i="24"/>
  <c r="F9" i="24"/>
  <c r="F7" i="24"/>
  <c r="F11" i="24"/>
  <c r="F12" i="24"/>
  <c r="F8" i="24"/>
  <c r="C12" i="24"/>
  <c r="C8" i="24"/>
  <c r="C9" i="24"/>
  <c r="C13" i="24"/>
  <c r="C10" i="24"/>
  <c r="C11" i="24"/>
  <c r="C7" i="24"/>
  <c r="B6" i="23"/>
  <c r="Q34" i="18"/>
  <c r="U34" i="18"/>
  <c r="S34" i="18"/>
  <c r="J34" i="18"/>
  <c r="G34" i="18"/>
  <c r="D34" i="18"/>
  <c r="I34" i="18"/>
  <c r="N34" i="18"/>
  <c r="V34" i="18"/>
  <c r="T34" i="18"/>
  <c r="L34" i="18"/>
  <c r="O34" i="18"/>
  <c r="M34" i="18"/>
  <c r="P34" i="18"/>
  <c r="H34" i="18"/>
  <c r="E34" i="18"/>
  <c r="F34" i="18"/>
  <c r="C34" i="18"/>
  <c r="K34" i="18"/>
  <c r="R34" i="18"/>
  <c r="C6" i="23"/>
  <c r="B28" i="23"/>
  <c r="C28" i="23"/>
  <c r="D3"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Hatch, Tremain</author>
  </authors>
  <commentList>
    <comment ref="A8" authorId="0" shapeId="0" xr:uid="{00000000-0006-0000-0500-000001000000}">
      <text>
        <r>
          <rPr>
            <b/>
            <sz val="9"/>
            <color indexed="81"/>
            <rFont val="Tahoma"/>
            <family val="2"/>
          </rPr>
          <t>Hatch, Tremain:</t>
        </r>
        <r>
          <rPr>
            <sz val="9"/>
            <color indexed="81"/>
            <rFont val="Tahoma"/>
            <family val="2"/>
          </rPr>
          <t xml:space="preserve">
the authors assume that  the rate of inflation will affect vineyard expenses (e.g. Labor rate) at the same rate as crop value</t>
        </r>
      </text>
    </comment>
  </commentList>
</comments>
</file>

<file path=xl/sharedStrings.xml><?xml version="1.0" encoding="utf-8"?>
<sst xmlns="http://schemas.openxmlformats.org/spreadsheetml/2006/main" count="625" uniqueCount="378">
  <si>
    <t>User inputs</t>
  </si>
  <si>
    <t>Year</t>
  </si>
  <si>
    <t>Labor rate</t>
  </si>
  <si>
    <t>sprayer and add a second tractor.</t>
  </si>
  <si>
    <t>yes</t>
  </si>
  <si>
    <t>Row length (feet)</t>
  </si>
  <si>
    <t>Acres</t>
  </si>
  <si>
    <t>Price per ton</t>
  </si>
  <si>
    <t>Deer fence (yes, no)</t>
  </si>
  <si>
    <t>Small utility vehicle</t>
  </si>
  <si>
    <t>Revenue</t>
  </si>
  <si>
    <t>Row length</t>
  </si>
  <si>
    <t xml:space="preserve">Row length is a necessary variable for the calculator to operate.  Structurally, a well-built trellis is capable of running up to a quarter mile (1320 feet).  Topography and the size of the vineyard, however, often limit vineyard rows to between 400 and 700 feet in VA.  </t>
  </si>
  <si>
    <t>Deer fence</t>
  </si>
  <si>
    <t xml:space="preserve">Equipment </t>
  </si>
  <si>
    <t xml:space="preserve">Trellis </t>
  </si>
  <si>
    <t>Costs</t>
  </si>
  <si>
    <t>Cost of capital</t>
  </si>
  <si>
    <t xml:space="preserve"> Yield (tons/acre)</t>
  </si>
  <si>
    <t>Year 1</t>
  </si>
  <si>
    <t>Spray-3</t>
  </si>
  <si>
    <t>Spray-4</t>
  </si>
  <si>
    <t xml:space="preserve">Spray-5 </t>
  </si>
  <si>
    <t xml:space="preserve">Imidan </t>
  </si>
  <si>
    <t>Intrepid</t>
  </si>
  <si>
    <t>Sevin</t>
  </si>
  <si>
    <t>mancozeb</t>
  </si>
  <si>
    <t>Rally</t>
  </si>
  <si>
    <t>Phosphorus acid</t>
  </si>
  <si>
    <t>Year 2</t>
  </si>
  <si>
    <t>Spray-6</t>
  </si>
  <si>
    <t>Spray-7</t>
  </si>
  <si>
    <t>Inspire Super</t>
  </si>
  <si>
    <t>Pristine</t>
  </si>
  <si>
    <t>Quintec</t>
  </si>
  <si>
    <t>Ranman</t>
  </si>
  <si>
    <t>Ridomil Gold MZ</t>
  </si>
  <si>
    <t>Year 3</t>
  </si>
  <si>
    <t xml:space="preserve">Spray-8 </t>
  </si>
  <si>
    <t>Spray-10</t>
  </si>
  <si>
    <t>Spray-11</t>
  </si>
  <si>
    <t>Voliam flexi</t>
  </si>
  <si>
    <t>Vangard</t>
  </si>
  <si>
    <t>Vivando</t>
  </si>
  <si>
    <t>Year 4+</t>
  </si>
  <si>
    <t>150 gallon</t>
  </si>
  <si>
    <t>50 gallon</t>
  </si>
  <si>
    <t>Tractor operated</t>
  </si>
  <si>
    <t>Hours per acre per year</t>
  </si>
  <si>
    <t>Hours of use at this acreage</t>
  </si>
  <si>
    <t>Estimated life of equipment (years)</t>
  </si>
  <si>
    <t>Tractor</t>
  </si>
  <si>
    <t>Herbicide sprayer</t>
  </si>
  <si>
    <t>Canopy sprayer</t>
  </si>
  <si>
    <t>Rotary mower</t>
  </si>
  <si>
    <t>Hand tools</t>
  </si>
  <si>
    <t>Tractor, narrow base</t>
  </si>
  <si>
    <t>Row Length</t>
  </si>
  <si>
    <t>This value would be paid or financed in the establishment phase</t>
  </si>
  <si>
    <t xml:space="preserve">of the vineyard. </t>
  </si>
  <si>
    <t>Total cost of trellis and deer fence:</t>
  </si>
  <si>
    <t>Vine density (feet)</t>
  </si>
  <si>
    <t>Annual fixed cost for all equipment</t>
  </si>
  <si>
    <t>Fixed costs allocated</t>
  </si>
  <si>
    <t>Row width (feet)</t>
  </si>
  <si>
    <t>Vine spacing (feet)</t>
  </si>
  <si>
    <t>Spray- 2</t>
  </si>
  <si>
    <t>Spray- 1</t>
  </si>
  <si>
    <t>Spray-2</t>
  </si>
  <si>
    <t>Insecticides</t>
  </si>
  <si>
    <t>Fungicides</t>
  </si>
  <si>
    <t>Spray- 9</t>
  </si>
  <si>
    <t>Linear Feet of Trellis per Acre</t>
  </si>
  <si>
    <t>Deer Fence</t>
  </si>
  <si>
    <t>Fertilizer spreader</t>
  </si>
  <si>
    <t>Finish mower</t>
  </si>
  <si>
    <t>Post driver</t>
  </si>
  <si>
    <t>Hedger</t>
  </si>
  <si>
    <t>Subsoiler</t>
  </si>
  <si>
    <t>Tiller</t>
  </si>
  <si>
    <t>Equipment</t>
  </si>
  <si>
    <t>Description</t>
  </si>
  <si>
    <t>Price</t>
  </si>
  <si>
    <t>Estimated life (hours)</t>
  </si>
  <si>
    <t>47" x 330'</t>
  </si>
  <si>
    <t>4-5" x 10'</t>
  </si>
  <si>
    <t>4-5" x 8'</t>
  </si>
  <si>
    <t>100 per package</t>
  </si>
  <si>
    <t>16' economy</t>
  </si>
  <si>
    <t>Assume full labor and spray materials for remainder of vineyard life.</t>
  </si>
  <si>
    <t>Mower</t>
  </si>
  <si>
    <t>Key values</t>
  </si>
  <si>
    <t>Allocation</t>
  </si>
  <si>
    <t>Trellis labor (hours/acre)</t>
  </si>
  <si>
    <t>Material cost (per foot)</t>
  </si>
  <si>
    <t>Labor cost (per foot)</t>
  </si>
  <si>
    <t xml:space="preserve">Scroll lower on the sheet to view the calculations of the trellis cost and allocation.  </t>
  </si>
  <si>
    <t>Item</t>
  </si>
  <si>
    <t>Average cost</t>
  </si>
  <si>
    <t>Unit</t>
  </si>
  <si>
    <t>Price  ($/ton)</t>
  </si>
  <si>
    <t>Vineyard cost</t>
  </si>
  <si>
    <t>Salvage value</t>
  </si>
  <si>
    <t>Annual cost</t>
  </si>
  <si>
    <t>Hours</t>
  </si>
  <si>
    <t>.</t>
  </si>
  <si>
    <t xml:space="preserve">Tractor </t>
  </si>
  <si>
    <t>Cost</t>
  </si>
  <si>
    <t>Other equipment</t>
  </si>
  <si>
    <t>Go to the Menu tab next.</t>
  </si>
  <si>
    <t>Vineyard Acreage</t>
  </si>
  <si>
    <t>Labor Rate</t>
  </si>
  <si>
    <t>Trellis</t>
  </si>
  <si>
    <t>Spray Costs</t>
  </si>
  <si>
    <t>Trellis Material Costs</t>
  </si>
  <si>
    <t xml:space="preserve"> Click anywhere in the section below to return to the top of the page.</t>
  </si>
  <si>
    <t>Back to the Calculator</t>
  </si>
  <si>
    <t>Planting labor (hours/acre)</t>
  </si>
  <si>
    <t>Labor hours</t>
  </si>
  <si>
    <t>Appendices:</t>
  </si>
  <si>
    <t>Crop Production</t>
  </si>
  <si>
    <t>Planting Density and Vines</t>
  </si>
  <si>
    <t>Trellis hardware costs (per foot)</t>
  </si>
  <si>
    <r>
      <t xml:space="preserve">Go to the </t>
    </r>
    <r>
      <rPr>
        <i/>
        <u/>
        <sz val="16"/>
        <color theme="10"/>
        <rFont val="Times New Roman"/>
        <family val="1"/>
      </rPr>
      <t>Calculator</t>
    </r>
    <r>
      <rPr>
        <u/>
        <sz val="16"/>
        <color theme="10"/>
        <rFont val="Times New Roman"/>
        <family val="1"/>
      </rPr>
      <t xml:space="preserve"> tab next.</t>
    </r>
  </si>
  <si>
    <r>
      <t xml:space="preserve">Fixed costs </t>
    </r>
    <r>
      <rPr>
        <b/>
        <sz val="18"/>
        <color theme="1"/>
        <rFont val="Times New Roman"/>
        <family val="1"/>
      </rPr>
      <t>not</t>
    </r>
    <r>
      <rPr>
        <b/>
        <sz val="14"/>
        <color theme="1"/>
        <rFont val="Times New Roman"/>
        <family val="1"/>
      </rPr>
      <t xml:space="preserve"> allocated</t>
    </r>
  </si>
  <si>
    <t>Vineyard Annual Net Income at Full Production (approximately Year 5)</t>
  </si>
  <si>
    <t>x</t>
  </si>
  <si>
    <t xml:space="preserve">Vineyard labor </t>
  </si>
  <si>
    <t>Range (hours per acre)</t>
  </si>
  <si>
    <t>Vineyard Labor Task Estimates</t>
  </si>
  <si>
    <t>Annual costs</t>
  </si>
  <si>
    <t>Fixed costs</t>
  </si>
  <si>
    <t>Capital assets (not allocated)</t>
  </si>
  <si>
    <t>Tony Wolf, Professor of Horticulture, Virginia Tech, and Director, Alson H. Smith Jr. Agricultural Research and Extension Center</t>
  </si>
  <si>
    <t xml:space="preserve">Before modifying the values in a cell, check to determine whether the current value is an absolute number, or is based on a calculation shown in the function bar at the top of the sheet. Save an unaltered copy of the tool before performing such modifications and take advantage of the undo and redo arrows available in Excel.           </t>
  </si>
  <si>
    <r>
      <t xml:space="preserve">                 * To modify the trellis installation estimate, go to the </t>
    </r>
    <r>
      <rPr>
        <i/>
        <sz val="16"/>
        <color rgb="FF000000"/>
        <rFont val="Times New Roman"/>
        <family val="1"/>
      </rPr>
      <t xml:space="preserve">Trellis </t>
    </r>
    <r>
      <rPr>
        <sz val="16"/>
        <color rgb="FF000000"/>
        <rFont val="Times New Roman"/>
        <family val="1"/>
      </rPr>
      <t>tab.</t>
    </r>
  </si>
  <si>
    <r>
      <t xml:space="preserve">                 * To modify the equipment costs estimate, go to the </t>
    </r>
    <r>
      <rPr>
        <i/>
        <sz val="16"/>
        <color rgb="FF000000"/>
        <rFont val="Times New Roman"/>
        <family val="1"/>
      </rPr>
      <t xml:space="preserve">Equipment </t>
    </r>
    <r>
      <rPr>
        <sz val="16"/>
        <color rgb="FF000000"/>
        <rFont val="Times New Roman"/>
        <family val="1"/>
      </rPr>
      <t>tab.</t>
    </r>
  </si>
  <si>
    <r>
      <t xml:space="preserve">4. Review the </t>
    </r>
    <r>
      <rPr>
        <i/>
        <sz val="16"/>
        <color theme="1"/>
        <rFont val="Times New Roman"/>
        <family val="1"/>
      </rPr>
      <t>Sensitivity Analysis</t>
    </r>
    <r>
      <rPr>
        <sz val="16"/>
        <color theme="1"/>
        <rFont val="Times New Roman"/>
        <family val="1"/>
      </rPr>
      <t xml:space="preserve"> tab to see how changes in crop production or crop value could impact the net income from your vineyard once it's in full production.</t>
    </r>
  </si>
  <si>
    <t xml:space="preserve">Scroll down or click on the list of hyperlinks below to learn more about the variables involved in designing a vineyard. </t>
  </si>
  <si>
    <t>Labor Hours at Full Production</t>
  </si>
  <si>
    <t>Vine Density</t>
  </si>
  <si>
    <t>Tabs (Worksheets) in the Vineyard Financial Calculator</t>
  </si>
  <si>
    <t xml:space="preserve">Appendices: </t>
  </si>
  <si>
    <t>Crop Production (crop per foot of row)</t>
  </si>
  <si>
    <t>The VFC is built with an independent grape grower in mind, and the annual sale of grapes is the only anticipated income. See how the crop level influences the cash flows, but keep in mind that this is a learning exercise. The current commercial grape production survey results  (http://www.virginiawine.org/grape_reports) show that Virginia vineyards typically average about 2 to 3 tons of grapes per acre; 1 to 2 pounds of crop per foot of vertical shoot positioned (VSP) canopy is appropriate for most situations in Virginia. Therefore, 1.5 pounds per foot is the default crop level used in the VFC. In reality, adjusting crop level in a vineyard is more complicated than adjusting crop level in this calculator.</t>
  </si>
  <si>
    <t xml:space="preserve"> The cost of capital is the cost of the individual sources of capital, weighted by their importance within a capital structure. This variable is used as a discount rate in the calculation of present value within the VFC.  </t>
  </si>
  <si>
    <t>Price per ton is the predicted value for grapes produced by this vineyard. See the commercial grape report for reported crop values. Demand, variety, grape quality, and grower reputation all have a bearing on how the crop will be valued in a transaction with a buyer. A default value of $2,000 per ton is used in the VFC.</t>
  </si>
  <si>
    <t xml:space="preserve">Labor Rate (per hour) </t>
  </si>
  <si>
    <t>Row length is needed for calculations of the VFC. Typical row lengths in Virginia vineyards are between 200 feet and 700 feet. This is often due to topography and vineyard size. A well-built trellis should be strong enough to support a row length of about 1,320 feet (0.25 mile).</t>
  </si>
  <si>
    <t>Modifiable Tabs (Worksheets) in the Vineyard Financial Calculator</t>
  </si>
  <si>
    <t>Trellis construction, vine planting, and deer fence construction labor can also be modified on this tab. Planting labor and trellis building labor are substantial components of the total vineyard installation cost. Our default values here are 200 labor hours per acre for planting, and 350 labor hours for constructing the trellis. Both of these values can be modified based on your experience (yellow cells). At the bottom of the tab, you can change the labor for deer fence installation. The default labor rate to install deer fence is $4 dollars per linear foot.</t>
  </si>
  <si>
    <t xml:space="preserve">Trellis installation and vine planting costs are significant components of vineyard installation costs; the default cost for labor for these two operations is $7,000 per acre.  This installation labor will vary from operation to operation: Small vineyards might accomplish the trellis installation with one or two people, some will use large labor crews, and others might contract the trellis installation to commercial fencing contractors. The default for this calculator represents an estimate of what a new operation might spend to install a vineyard.  </t>
  </si>
  <si>
    <t xml:space="preserve">Picking containers are also included in this worksheet. The number of picking containers needed will vary between operations. Picking capacity of about half of a harvested vineyard block is recommended as a starting inventory. In this case, the remaining half of the picking containers must be provided by the winery purchasing the grapes. These arrangements are made on a case-by-case basis.  A mixed portfolio of wine grape varieties will help ease strain on picking containers because varieties are typically harvested at different times. Picking containers can become a large component of vineyard capital expenditures, which has led some operations to use half-ton bins with buyers equipped to handle such bulk bins.  </t>
  </si>
  <si>
    <t xml:space="preserve">This spray schedule is given as an example only (scroll down to view). Altering this spray schedule will not alter the output of the VFC.  </t>
  </si>
  <si>
    <t>Adjust the yellow cells if necessary to match your estimated values.</t>
  </si>
  <si>
    <t>Modify the gray cells with discretion. These factors could be out of your control.</t>
  </si>
  <si>
    <t>Labor hours per acre at full production (Estimated 200-400 hours)</t>
  </si>
  <si>
    <t>Labor rate per hour</t>
  </si>
  <si>
    <t>The upper cash flow figure shows cash flows when the cost of capital assets (e.g., tractor, trellis) are fully expensed at the time of purchase. The lower cash flow figure shows the cash flow when the cost of capital assets is allocated annually as fixed costs over the useful life of these assets.</t>
  </si>
  <si>
    <r>
      <t xml:space="preserve">The </t>
    </r>
    <r>
      <rPr>
        <i/>
        <sz val="20"/>
        <color theme="1"/>
        <rFont val="Times New Roman"/>
        <family val="1"/>
      </rPr>
      <t>Trellis</t>
    </r>
    <r>
      <rPr>
        <sz val="20"/>
        <color theme="1"/>
        <rFont val="Times New Roman"/>
        <family val="1"/>
      </rPr>
      <t xml:space="preserve"> tab is used to calculate the cost of installing the trellis and the deer fence. Please do not modify this worksheet other than the yellow and gray cells. Scroll down to view page.</t>
    </r>
  </si>
  <si>
    <t>Headlands (feet)</t>
  </si>
  <si>
    <t>Reasonable values are more than 30 feet and less than 50 feet. This will influence the deer fence calculation.</t>
  </si>
  <si>
    <t xml:space="preserve">Default value is $1/foot. This price is generated assuming pricing on the scale of a 10-acre vineyard.  </t>
  </si>
  <si>
    <t>Trellis installation</t>
  </si>
  <si>
    <t>350 labor hours is a default value; hours can vary dramatically.</t>
  </si>
  <si>
    <t>Vineyard dimensions</t>
  </si>
  <si>
    <t>Default value for 6-wire electric fence is $1/foot.</t>
  </si>
  <si>
    <t>Anticipated life of the vineyard (years)</t>
  </si>
  <si>
    <t>Default value is 20 years.</t>
  </si>
  <si>
    <t>Row spacing (feet)</t>
  </si>
  <si>
    <t>Square feet per vine</t>
  </si>
  <si>
    <t>Acre (square feet)</t>
  </si>
  <si>
    <t>Vines per acre</t>
  </si>
  <si>
    <t>Price per vine</t>
  </si>
  <si>
    <t>Vine costs per acre</t>
  </si>
  <si>
    <t>Headland (feet)</t>
  </si>
  <si>
    <t>Rows per acre</t>
  </si>
  <si>
    <t>Trellis hardware ($/linear foot)</t>
  </si>
  <si>
    <t xml:space="preserve">Default value $1/foot. This price is generated assuming pricing on the scale of a 10-acre vineyard.  </t>
  </si>
  <si>
    <t>Linear feet of trellis (acre)</t>
  </si>
  <si>
    <t>Trellis material cost</t>
  </si>
  <si>
    <t>Total vineyard install (hours/acre)</t>
  </si>
  <si>
    <t>Plant labor (hours/acre)</t>
  </si>
  <si>
    <t>200 labor hours is a default value; hours can vary dramatically.</t>
  </si>
  <si>
    <t>Labor costs (per acre)</t>
  </si>
  <si>
    <r>
      <t xml:space="preserve">Totals for trellis </t>
    </r>
    <r>
      <rPr>
        <sz val="11"/>
        <color theme="1"/>
        <rFont val="Times New Roman"/>
        <family val="1"/>
      </rPr>
      <t>(whole vineyard)</t>
    </r>
  </si>
  <si>
    <t>Total trellis linear feet</t>
  </si>
  <si>
    <t>Total labor costs</t>
  </si>
  <si>
    <t>Total vineyard install</t>
  </si>
  <si>
    <t>Rows in vineyard</t>
  </si>
  <si>
    <t>Width of vineyard (feet)</t>
  </si>
  <si>
    <t>Perimeter (feet)</t>
  </si>
  <si>
    <t>Change these two gray cells to alter the deer fence price.</t>
  </si>
  <si>
    <t>Material cost per foot</t>
  </si>
  <si>
    <t>Total material cost</t>
  </si>
  <si>
    <t>Default value for 6 wire electric fence $1/foot</t>
  </si>
  <si>
    <t>Labor cost per foot</t>
  </si>
  <si>
    <t>Total labor cost</t>
  </si>
  <si>
    <t>Cost per foot</t>
  </si>
  <si>
    <t>Default value $4/foot (will vary dramatically with size of job and location of installation).</t>
  </si>
  <si>
    <t>Cost of deer fence</t>
  </si>
  <si>
    <t xml:space="preserve">This is the total cost of the vineyard. This expense would be paid or financed in the establishment phase of the vineyard. </t>
  </si>
  <si>
    <r>
      <t>The table below calculates the annual cost</t>
    </r>
    <r>
      <rPr>
        <b/>
        <sz val="14"/>
        <color theme="1"/>
        <rFont val="Calibri"/>
        <family val="2"/>
      </rPr>
      <t>*</t>
    </r>
    <r>
      <rPr>
        <b/>
        <sz val="14"/>
        <color theme="1"/>
        <rFont val="Times New Roman"/>
        <family val="1"/>
      </rPr>
      <t xml:space="preserve">of the vineyard (using the costs detailed above). This annual cost is abstract, but it helps to allocate the annual cost of the vineyard over its life.  </t>
    </r>
  </si>
  <si>
    <t>Useful life (years)</t>
  </si>
  <si>
    <t>*This is not a tax depreciation. It is just an example of asset loss in value.</t>
  </si>
  <si>
    <t>Scroll down worksheet to alter the equipment selections for your vineyard.                                                                                                                                    Copy items from the blue list and paste them to the yellow cells and                                                                                                                                                        indicate the quantity needed. Feel free to use anyequipment and prices                                                                                                                                              that may not appear in the blue table but that you wish to apply to your operation.</t>
  </si>
  <si>
    <t>Item price</t>
  </si>
  <si>
    <t>No cab</t>
  </si>
  <si>
    <t>Tractor-operated</t>
  </si>
  <si>
    <t>300 gallon</t>
  </si>
  <si>
    <t>Lug</t>
  </si>
  <si>
    <t xml:space="preserve">Lug  </t>
  </si>
  <si>
    <t>Total equipment capital expenditures</t>
  </si>
  <si>
    <t xml:space="preserve">This is the total cost of equipment capital expenditures. </t>
  </si>
  <si>
    <t xml:space="preserve">Please do not delete informaiton from this blue table.  </t>
  </si>
  <si>
    <t xml:space="preserve">25-lb picking tray </t>
  </si>
  <si>
    <t xml:space="preserve">The table below calculates the annual cost of equipment capital expenditures (using the equipment selected above). This annual cost is abstract, but it helps to allocate the cost of equipment and replacement equipment over the life of the vineyard.  </t>
  </si>
  <si>
    <t>Acre</t>
  </si>
  <si>
    <t>Tractor time</t>
  </si>
  <si>
    <t>Sprayer time</t>
  </si>
  <si>
    <t>Mower time</t>
  </si>
  <si>
    <t>Herbicide time</t>
  </si>
  <si>
    <t>Small utility vehicle time</t>
  </si>
  <si>
    <t xml:space="preserve">30 acres, we recommend you switch to a bigger </t>
  </si>
  <si>
    <t>Assume 1/6 labor in Year 0</t>
  </si>
  <si>
    <t>Assume 1/2 labor and spray materials in addition to planting and install in Year 1</t>
  </si>
  <si>
    <t>Annual materials per acre (herbicide, fungicides, etc.)</t>
  </si>
  <si>
    <t>Total cost (per acre)</t>
  </si>
  <si>
    <t>Total cost (whole vineyard)</t>
  </si>
  <si>
    <t>Total annual expenses (without allocating fixed costs)</t>
  </si>
  <si>
    <t>Cumulative expenses</t>
  </si>
  <si>
    <t>Total annual expenses (with fixed costs)</t>
  </si>
  <si>
    <t>Cumulative expenses (with fixed costs)</t>
  </si>
  <si>
    <t>Crop level (lbs/foot)</t>
  </si>
  <si>
    <t>Crop level (lbs/acre)</t>
  </si>
  <si>
    <t>Crop level (tons/acre)</t>
  </si>
  <si>
    <t>Crop value (per acre)</t>
  </si>
  <si>
    <t>Crop value (vineyard)</t>
  </si>
  <si>
    <t>Annual returns</t>
  </si>
  <si>
    <t>Cumulative revenue</t>
  </si>
  <si>
    <t>Net cumulative cash flow (without fixed costs allocated)</t>
  </si>
  <si>
    <t>Net annual cash flow (without fixed costs allocated)</t>
  </si>
  <si>
    <t>Net annual cash flow (with fixed costs allocated)</t>
  </si>
  <si>
    <t>Net cumulative cash flow (with fixed costs allocated)</t>
  </si>
  <si>
    <t xml:space="preserve">Net present value represents the value today of the cash inflows and outflows over the life of the vineyard. This calculated figure incorporates the time value of money.  </t>
  </si>
  <si>
    <t>Net present value of the vineyard investment</t>
  </si>
  <si>
    <r>
      <rPr>
        <b/>
        <sz val="14"/>
        <color theme="1"/>
        <rFont val="Times New Roman"/>
        <family val="1"/>
      </rPr>
      <t>A negative value (shown with red cell color and parentheses) indicates that the operation is not profitable. A positive value (green cell color) indicates that under these circumstances, the operation could return a profit.</t>
    </r>
    <r>
      <rPr>
        <sz val="14"/>
        <color theme="1"/>
        <rFont val="Times New Roman"/>
        <family val="1"/>
      </rPr>
      <t xml:space="preserve">                                                           </t>
    </r>
  </si>
  <si>
    <t xml:space="preserve">Net cash flow </t>
  </si>
  <si>
    <t>Present value</t>
  </si>
  <si>
    <t>Total</t>
  </si>
  <si>
    <t xml:space="preserve">Spray-6 </t>
  </si>
  <si>
    <t>Mancozeb</t>
  </si>
  <si>
    <t>Captan</t>
  </si>
  <si>
    <t>Sulfur</t>
  </si>
  <si>
    <t>(3-5" shoot)</t>
  </si>
  <si>
    <t>(6-10" shoot)</t>
  </si>
  <si>
    <t>(12-18" shoot)</t>
  </si>
  <si>
    <t>(pre-bloom)</t>
  </si>
  <si>
    <t>(bloom)</t>
  </si>
  <si>
    <t xml:space="preserve"> (bloom+10)</t>
  </si>
  <si>
    <t>(bloom+24)</t>
  </si>
  <si>
    <t>(preharvest)</t>
  </si>
  <si>
    <t>(preveraison)</t>
  </si>
  <si>
    <t>(postveraison)</t>
  </si>
  <si>
    <t>Per foot</t>
  </si>
  <si>
    <t>Per roll</t>
  </si>
  <si>
    <t>End post</t>
  </si>
  <si>
    <t>Line post (low)</t>
  </si>
  <si>
    <t>Line post (high)</t>
  </si>
  <si>
    <t>Solar charger</t>
  </si>
  <si>
    <t>With battery, 30 miles of fence</t>
  </si>
  <si>
    <t>Earth anchor</t>
  </si>
  <si>
    <t>Wire care clip</t>
  </si>
  <si>
    <t>Staple</t>
  </si>
  <si>
    <t>Bamboo</t>
  </si>
  <si>
    <t>In-line tensioner</t>
  </si>
  <si>
    <t>Gripple</t>
  </si>
  <si>
    <t>Gate</t>
  </si>
  <si>
    <t>Wraparound insulators</t>
  </si>
  <si>
    <t>Pack of 10</t>
  </si>
  <si>
    <t>Short insulators</t>
  </si>
  <si>
    <t>Pack of 200</t>
  </si>
  <si>
    <t>Grow tubes</t>
  </si>
  <si>
    <t>Vines</t>
  </si>
  <si>
    <t>Pruning + tying</t>
  </si>
  <si>
    <t>Annual trellis maintenance</t>
  </si>
  <si>
    <t>Shoot thinning</t>
  </si>
  <si>
    <t>Shoot positioning</t>
  </si>
  <si>
    <t xml:space="preserve">Leaf pulling </t>
  </si>
  <si>
    <t>Crop thinning</t>
  </si>
  <si>
    <t>Hedging</t>
  </si>
  <si>
    <t>Harvest</t>
  </si>
  <si>
    <t>Spraying</t>
  </si>
  <si>
    <t>Mowing</t>
  </si>
  <si>
    <t>Scouting</t>
  </si>
  <si>
    <t>Total hours</t>
  </si>
  <si>
    <r>
      <rPr>
        <u/>
        <sz val="16"/>
        <rFont val="Times New Roman"/>
        <family val="1"/>
      </rPr>
      <t>□ "Question and Answer Guide for Starting and Growing Your Small Business," VCE publication 310-100;</t>
    </r>
    <r>
      <rPr>
        <u/>
        <sz val="16"/>
        <color theme="10"/>
        <rFont val="Times New Roman"/>
        <family val="1"/>
      </rPr>
      <t xml:space="preserve"> https://pubs.ext.vt.edu/310/310-100/310-100_pdf.pdf.</t>
    </r>
  </si>
  <si>
    <t>Total vineyard install (per acre)</t>
  </si>
  <si>
    <t>Deer Fence (whole vineyard)</t>
  </si>
  <si>
    <t>@</t>
  </si>
  <si>
    <t>*If you plan to operate a vineyard that is larger than</t>
  </si>
  <si>
    <t>Tractor*</t>
  </si>
  <si>
    <t>Canopy sprayer*</t>
  </si>
  <si>
    <t xml:space="preserve">The Vineyard Financial Calculator  is an educational tool that is useful for comparing the financial performance of different vineyard operational scenarios. This tool's intended user is an individual or organization exploring the financial requirements of vineyard establishment and operation in Virginia. The tool was designed to forecast the approximate pretax annual cash inflows and outflows of a vineyard − information required to build a business prospectus. Users can modify certain input variables, such as vineyard size and labor costs, as well as outputs, such as crop level, to tailor the projections to personal expectations. The VFC is only a predictive tool; actual results could vary from those predicted due to site conditions, variances in costs, or unanticipated gains or losses.  </t>
  </si>
  <si>
    <t>How the Vineyard Financial Calculator Works</t>
  </si>
  <si>
    <r>
      <t xml:space="preserve">Using the VFC: Watch the figures on the </t>
    </r>
    <r>
      <rPr>
        <b/>
        <i/>
        <sz val="16"/>
        <color rgb="FF000000"/>
        <rFont val="Times New Roman"/>
        <family val="1"/>
      </rPr>
      <t>Calculator</t>
    </r>
    <r>
      <rPr>
        <b/>
        <sz val="16"/>
        <color rgb="FF000000"/>
        <rFont val="Times New Roman"/>
        <family val="1"/>
      </rPr>
      <t xml:space="preserve"> tab as you alter characteristics of the vineyard scenario you are investigating. </t>
    </r>
  </si>
  <si>
    <r>
      <t xml:space="preserve">The VFC is an Excel spreadsheet that allows you to modify the characteristics of a model vineyard.  The tool will calculate financial, production, and operational information based on user input. The tables and figures in this spreadsheet are </t>
    </r>
    <r>
      <rPr>
        <b/>
        <sz val="16"/>
        <color rgb="FF000000"/>
        <rFont val="Times New Roman"/>
        <family val="1"/>
      </rPr>
      <t>dynamic</t>
    </r>
    <r>
      <rPr>
        <sz val="16"/>
        <color rgb="FF000000"/>
        <rFont val="Times New Roman"/>
        <family val="1"/>
      </rPr>
      <t xml:space="preserve"> and will change as the variables are modified. </t>
    </r>
  </si>
  <si>
    <r>
      <t>1. Input your data for the primary variables (yellow cells) on the C</t>
    </r>
    <r>
      <rPr>
        <i/>
        <sz val="16"/>
        <color rgb="FF000000"/>
        <rFont val="Times New Roman"/>
        <family val="1"/>
      </rPr>
      <t xml:space="preserve">alculator </t>
    </r>
    <r>
      <rPr>
        <sz val="16"/>
        <color rgb="FF000000"/>
        <rFont val="Times New Roman"/>
        <family val="1"/>
      </rPr>
      <t xml:space="preserve">tab. </t>
    </r>
  </si>
  <si>
    <r>
      <t xml:space="preserve">3. Check out the </t>
    </r>
    <r>
      <rPr>
        <i/>
        <sz val="16"/>
        <color theme="1"/>
        <rFont val="Times New Roman"/>
        <family val="1"/>
      </rPr>
      <t>Net Present Value</t>
    </r>
    <r>
      <rPr>
        <sz val="16"/>
        <color theme="1"/>
        <rFont val="Times New Roman"/>
        <family val="1"/>
      </rPr>
      <t xml:space="preserve"> tab to view the present value of the future cash flows associated with the vineyard.</t>
    </r>
  </si>
  <si>
    <t xml:space="preserve">For more information about starting and growing a business, check out these Virginia Cooperative Extension publications: </t>
  </si>
  <si>
    <t>Cost of Capital/Discount Rate</t>
  </si>
  <si>
    <t>Crop Value/Price per Ton</t>
  </si>
  <si>
    <t>Spray-1</t>
  </si>
  <si>
    <t xml:space="preserve">The most important fiscal decision for the vineyard operator is the size of the vineyard (acreage). Like any investment, the vineyard should create value over time in excess of its original cost.  </t>
  </si>
  <si>
    <t xml:space="preserve">The substantial capital expenditures, such as equipment, that are required to develop a vineyard should match the anticipated size of the vineyard. A tractor and sprayer rig can be used on a 1-acre vineyard or on a 30-acre vineyard. The operational cost of the rig per acre is higher for a 1-acre vineyard and lower when spread over a 30-acre vineyard.      </t>
  </si>
  <si>
    <t xml:space="preserve">Go ahead: Try out different vineyard size scenarios, holding other parameters constant. Compare the cumulative cash flow figures to see how they change with different vineyard sizes.  </t>
  </si>
  <si>
    <t xml:space="preserve">A vineyard of 30 or more acres could, in fact, warrant having two tractors and sprayers in order to have some redundancy in the event of breakdown and to accomplish the spraying quickly in the event of poor weather. The VFC projections tool does not include a barn, roads, or other infrastructure that might be necessary for a large agricultural enterprise.  </t>
  </si>
  <si>
    <t>Labor Hours at Full Production (per acre)</t>
  </si>
  <si>
    <t xml:space="preserve">Labor is the largest annual expense. The labor estimate per acre per year is 300 hours.  Altering this value will change the projected cash flows dramatically.  Keep in mind that excellent canopy management is necessary for growing quality grapes in Virginia.  Failure to complete canopy management tasks in a timely manner will compromise or ruin fruit quality, so modifying or decreasing labor costs is difficult for even the most experienced vineyard manager. For now, use the default value of 300 hours per acre and adjust this value only if your own data suggests an appreciable deviation from this industry-derived average. Experience, site, and variety will influence how efficiently labor is used in the vineyard (e.g., new growers are often less efficient with vineyard labor than experienced growers are. Labor demands are not evenly distributed through the calendar year. The labor rate is multiplied by the labor hours estimate for each year of vineyard operation. The pool of labor hours is not divided into skilled labor and unskilled labor in the VFC. See Vineyard Labor Task Estimates below in appendix. In reality, many vineyard operations have a hierarchy of employees; some have more responsibilities and technical experience, so they receive a higher wage than those with less responsibility and less technical experience.  </t>
  </si>
  <si>
    <t xml:space="preserve">The VFC covers vineyard labor with a formula; in reality, finding and employing workers to provide this labor is a serious vineyard management challenge. Remember the employer responsibilities required by the Worker Protection Standards and Fair Labor and Standards Act.  </t>
  </si>
  <si>
    <t xml:space="preserve">There are four major variables you can alter (gray cells).  First, determine how much headland space to leave. "Headland" is the distance between the end of the vine row and the deer fence or any other impediment or obstruction to machinery traffic. This is important for equipment to be turned around and for machinery to access the vineyard. A distance of 30 to 40 feet is a good starting point, particularly if pulling trailer-type sprayers and mowers.  </t>
  </si>
  <si>
    <t>The estimated total cash cost of the vineyard, installed at 9 feet by 5 feet, with 200 labor hours for planting and 350 labor hours for trellis installation, is approximately $17,000 per acre.</t>
  </si>
  <si>
    <t>Spray-9</t>
  </si>
  <si>
    <t>(pre-veraison)</t>
  </si>
  <si>
    <t>(post-veraison)</t>
  </si>
  <si>
    <t>(1/2" shoot)</t>
  </si>
  <si>
    <t>12.5-gauge wire</t>
  </si>
  <si>
    <t>12.5-gauge American wire</t>
  </si>
  <si>
    <t>4,000'</t>
  </si>
  <si>
    <t>3-4" x 8'</t>
  </si>
  <si>
    <t>Low estimate</t>
  </si>
  <si>
    <t>High estimate</t>
  </si>
  <si>
    <t>Vines per acre (calculated − do not modify cell)</t>
  </si>
  <si>
    <t>Yield (tons per acre; calculated − do not modify cell)</t>
  </si>
  <si>
    <t>Crop production (crop per foot of row; suggested values: 1-2 lb)</t>
  </si>
  <si>
    <t>Spray costs (fuel and materials; $500-$1,500/per acre/per year)</t>
  </si>
  <si>
    <r>
      <t xml:space="preserve">This figure represents the cash flows added together over time. These values represent the vineyard described on the </t>
    </r>
    <r>
      <rPr>
        <i/>
        <sz val="11"/>
        <color theme="1"/>
        <rFont val="Times New Roman"/>
      </rPr>
      <t>Calculator</t>
    </r>
    <r>
      <rPr>
        <sz val="11"/>
        <color theme="1"/>
        <rFont val="Times New Roman"/>
        <family val="1"/>
      </rPr>
      <t xml:space="preserve"> tab. Take note of the cash deficit period before the initial costs are paid for.  </t>
    </r>
  </si>
  <si>
    <t>Default value is $4/foot; cost will vary dramatically with size of job and location of installation.</t>
  </si>
  <si>
    <r>
      <t xml:space="preserve">Total vineyard install </t>
    </r>
    <r>
      <rPr>
        <sz val="11"/>
        <color theme="1"/>
        <rFont val="Times New Roman"/>
        <family val="1"/>
      </rPr>
      <t>(total labor + vine cost + trellis material cost per acre)</t>
    </r>
  </si>
  <si>
    <t>Row length with headland (feet)</t>
  </si>
  <si>
    <t>Vineyard Equipment Inventory    Quantity</t>
  </si>
  <si>
    <t>Half-ton harvest bin</t>
  </si>
  <si>
    <t>Food-grade plastic</t>
  </si>
  <si>
    <t>Hammer, pruners, etc.</t>
  </si>
  <si>
    <t>4-WD, 40 HP, narrow,  cab tractor</t>
  </si>
  <si>
    <t>Zero-turn mower</t>
  </si>
  <si>
    <t>4-WD, 40 HP, cab tractor</t>
  </si>
  <si>
    <t>3-point hitch</t>
  </si>
  <si>
    <t>Self-propelled</t>
  </si>
  <si>
    <t xml:space="preserve">The figure and table below are estimates of the useful life of equipment in the vineyard. These are just estimates based on industry standards. To read the table, look across the row and see the hours of use associated with one acre, then the total acreage. Then the last column shows the anticipated life of the piece of equipment at this use rate. Accidents, bad luck, and mistakes happen when operating agricultural equipment.  </t>
  </si>
  <si>
    <t>Hours per year</t>
  </si>
  <si>
    <t xml:space="preserve">Except for yellow cells, do not modify this sheet. These cash flows are calculated from elsewhere in the Vineyard Financial Calculator. Scroll down to view the predicted cash flows of this vineyard. The net cumulative cash flow is shown in graphical form below the table.  </t>
  </si>
  <si>
    <t>Assume 3/4 labor and spray materials in Year 2</t>
  </si>
  <si>
    <t>In this case, the costs associated with an asset that lasts longer than one year are shown when the cost is incurred (i.e., building a trellis or buying a tractor is shown as a cost in the year that the trellis is built or the tractor is purchased). In this example, replacement costs for these assets are not included.</t>
  </si>
  <si>
    <t>In this case, the cost associated with an asset that lasts longer than one year will be allocated over the useful life of the asset (i.e., the trellis costs are allocated over the useful life of the trellis [20 years in this case], and the cost of vineyard equipment like tractors and sprayers are allocated over the useful life of the equipment).</t>
  </si>
  <si>
    <r>
      <t xml:space="preserve">This table projects the annual net income from the entire vineyard acreage at full production for a number of different crop yields and prices. The boxed cell in the center of the table is the crop level and value set on the </t>
    </r>
    <r>
      <rPr>
        <i/>
        <sz val="14"/>
        <rFont val="Times New Roman"/>
        <family val="1"/>
      </rPr>
      <t>Calculator</t>
    </r>
    <r>
      <rPr>
        <sz val="14"/>
        <rFont val="Times New Roman"/>
        <family val="1"/>
      </rPr>
      <t xml:space="preserve"> tab. It uses the allocated fixed costs; green shading represents positive net income, and red shading represents negative net income. </t>
    </r>
  </si>
  <si>
    <r>
      <rPr>
        <b/>
        <sz val="16"/>
        <color theme="1"/>
        <rFont val="Times New Roman"/>
        <family val="1"/>
      </rPr>
      <t>Sensitivity Analysi</t>
    </r>
    <r>
      <rPr>
        <b/>
        <sz val="11"/>
        <color theme="1"/>
        <rFont val="Times New Roman"/>
        <family val="1"/>
      </rPr>
      <t>s</t>
    </r>
  </si>
  <si>
    <t>Crop Value/ Price per Ton</t>
  </si>
  <si>
    <t>Labor Estimates</t>
  </si>
  <si>
    <t xml:space="preserve">A deer fence is common in Virginia to provide passive exclusion of deer from the vineyard to prevent browsing injury. The default deer fence is a 6-foot tall, 6-wire electric fence; this is the most economical deer fence seen in commercial vineyards. More effective deer fences are available, but they increase the cost of vineyard establishment. Select "yes" from the drop-down menu to include a deer fence in the model, or "no” to not include a deer fence in the model. The default deer fence used in the model costs about $5 per linear foot. This factor is based on vineyard sizes greater than 5 acres. The cost of a 1-acre perimeter fence could be closer to $7,500 or more than $5 per foot.  </t>
  </si>
  <si>
    <t xml:space="preserve">The cost of labor is also adjustable on the Calculator tab. The labor rate is multiplied by the labor hours per acre to estimate annual labor costs. Keep in mind that this labor rate is applied to the pooled labor hours, which include technical tasks such as spraying and nontechnical tasks such as shoot positioning. A pooled value is incorporated into the VFC to easily compare different labor allocation situations. A default value of $13.50 per hour is used in the VFC. In addition, payroll costs and overhead could represent about an additional 35 percent of the wage paid to employees. </t>
  </si>
  <si>
    <t xml:space="preserve">Moving to the Trellis worksheet tab,  you have the option of changing several parameters. </t>
  </si>
  <si>
    <t>The trellis, deer fence, and equipment expenses are all summed to the Year 1 capital assets, as shown on the Budget tab.</t>
  </si>
  <si>
    <t xml:space="preserve">Equipment is the next tab. Select the equipment materials and tools that will be used by the vineyard operation. At a minimum, include a means to spray and mow the vineyard as well as hand tools such as pruners and picking containers. Commercial vineyards require 50 to 100 gallons of spray water per acre, and commercial air blast sprayers need a tractor that can provide at least 40 horsepower measured at the power takeoff.   </t>
  </si>
  <si>
    <r>
      <rPr>
        <u/>
        <sz val="16"/>
        <rFont val="Times New Roman"/>
        <family val="1"/>
      </rPr>
      <t xml:space="preserve">□ "Successful Farm Startup for Beginners: Virginia Beginning Farmer and Rancher Coalition Program," VCE publication AEE-67P; </t>
    </r>
    <r>
      <rPr>
        <u/>
        <sz val="16"/>
        <color theme="10"/>
        <rFont val="Times New Roman"/>
        <family val="1"/>
      </rPr>
      <t>https://pubs.ext.vt.edu/AEE/AEE-67/AEE-67-PDF.pdf.</t>
    </r>
  </si>
  <si>
    <t xml:space="preserve">The planting density is the spacing between grapevines. In Virginia, rows of vines are often planted 7 to 11 feet wide. Vines are often planted 3 to 8 feet apart in the vine row. On average, Virginia vineyards are planted with 9 feet between the rows and 5 feet between the vines. Rows narrower than 9 feet will require narrow, wheel-based equipment. Selecting an appropriate vine-planting density remains one of the most perplexing decisions in vineyard design. Planting density will influence the linear feet of trellis per acre, vineyard material costs, and crop production of the vineyard in the VFC.  </t>
  </si>
  <si>
    <t>The spray costs figure should include the annual costs associated with spraying and driving machinery through the vineyard, including fuel, fungicides, insecticides, herbicides, and a modest vineyard nutrient management program. See "Pest Management Guide: Horticultural and Forest Crops," Virginia Cooperative Extension publication 456-017, for more information: https://pubs.ext.vt.edu/456/456-017/456-017.html.</t>
  </si>
  <si>
    <t>5 lbs. ≈190</t>
  </si>
  <si>
    <r>
      <t>2. Input your data for the secondary variables (gray cells) on the C</t>
    </r>
    <r>
      <rPr>
        <i/>
        <sz val="16"/>
        <color rgb="FF000000"/>
        <rFont val="Times New Roman"/>
        <family val="1"/>
      </rPr>
      <t xml:space="preserve">alculator </t>
    </r>
    <r>
      <rPr>
        <sz val="16"/>
        <color rgb="FF000000"/>
        <rFont val="Times New Roman"/>
        <family val="1"/>
      </rPr>
      <t xml:space="preserve">tab; the three figures on the Calculator tab will show the predicted cash flows associated with the scenario. The figure adjacent to the calculator shows the cumulative cash flows without the major assets allocated over the life of the vineyard. The upper figure shows cash flows </t>
    </r>
    <r>
      <rPr>
        <b/>
        <sz val="16"/>
        <color rgb="FF000000"/>
        <rFont val="Times New Roman"/>
        <family val="1"/>
      </rPr>
      <t xml:space="preserve">without </t>
    </r>
    <r>
      <rPr>
        <sz val="16"/>
        <color rgb="FF000000"/>
        <rFont val="Times New Roman"/>
        <family val="1"/>
      </rPr>
      <t xml:space="preserve">the major assets allocated over the life of the vineyard (i.e., shown as one cost at the time of purchase). The lower figure shows cash flows </t>
    </r>
    <r>
      <rPr>
        <b/>
        <sz val="16"/>
        <color rgb="FF000000"/>
        <rFont val="Times New Roman"/>
        <family val="1"/>
      </rPr>
      <t>with</t>
    </r>
    <r>
      <rPr>
        <sz val="16"/>
        <color rgb="FF000000"/>
        <rFont val="Times New Roman"/>
        <family val="1"/>
      </rPr>
      <t xml:space="preserve"> the major assets allocated over the life of the vineyard (i.e., shown as a fixed cost over the asset's useful life).</t>
    </r>
  </si>
  <si>
    <t>Peter Callan, Extension Agent, Farm Business Management, Culpeper County, Virginia Cooperative Extension;</t>
  </si>
  <si>
    <t>Authored by Tremain Hatch, Part-time Research Faculty, Alson H. Smith Jr. Agricultural Research and Extension Center;</t>
  </si>
  <si>
    <r>
      <t xml:space="preserve">Vineyard Financial Calculator  </t>
    </r>
    <r>
      <rPr>
        <b/>
        <sz val="14"/>
        <color theme="1"/>
        <rFont val="Arial"/>
        <family val="2"/>
      </rPr>
      <t>Publication # AREC-118NP (SPES-424NP)</t>
    </r>
  </si>
  <si>
    <r>
      <rPr>
        <b/>
        <sz val="14"/>
        <color theme="1"/>
        <rFont val="Times New Roman"/>
        <family val="1"/>
      </rPr>
      <t>Acknowlegement:</t>
    </r>
    <r>
      <rPr>
        <sz val="14"/>
        <color theme="1"/>
        <rFont val="Times New Roman"/>
        <family val="1"/>
      </rPr>
      <t xml:space="preserve"> Gordon Groover, associate professor emeritus and Virginia Cooperative Extension economist, provided valuble guidance on this tool.</t>
    </r>
  </si>
  <si>
    <r>
      <rPr>
        <b/>
        <sz val="14"/>
        <rFont val="Times New Roman"/>
        <family val="1"/>
      </rPr>
      <t>For more information:</t>
    </r>
    <r>
      <rPr>
        <sz val="14"/>
        <rFont val="Times New Roman"/>
        <family val="1"/>
      </rPr>
      <t xml:space="preserve"> Contact Tremain Hatch,</t>
    </r>
    <r>
      <rPr>
        <sz val="14"/>
        <color theme="10"/>
        <rFont val="Times New Roman"/>
        <family val="1"/>
      </rPr>
      <t xml:space="preserve"> thatch@vt.edu</t>
    </r>
    <r>
      <rPr>
        <sz val="14"/>
        <rFont val="Times New Roman"/>
        <family val="1"/>
      </rPr>
      <t xml:space="preserve">, with questions or feedback on this tool. </t>
    </r>
  </si>
  <si>
    <r>
      <t xml:space="preserve">The </t>
    </r>
    <r>
      <rPr>
        <i/>
        <sz val="16"/>
        <color rgb="FF000000"/>
        <rFont val="Times New Roman"/>
        <family val="1"/>
      </rPr>
      <t xml:space="preserve">Calculator </t>
    </r>
    <r>
      <rPr>
        <sz val="16"/>
        <color rgb="FF000000"/>
        <rFont val="Times New Roman"/>
        <family val="1"/>
      </rPr>
      <t xml:space="preserve">tab serves as a dashboard. Users are encouraged to adjust the parameters listed in the </t>
    </r>
    <r>
      <rPr>
        <i/>
        <sz val="16"/>
        <color rgb="FF000000"/>
        <rFont val="Times New Roman"/>
        <family val="1"/>
      </rPr>
      <t>Calculator</t>
    </r>
    <r>
      <rPr>
        <sz val="16"/>
        <color rgb="FF000000"/>
        <rFont val="Times New Roman"/>
        <family val="1"/>
      </rPr>
      <t xml:space="preserve"> tab to generate cost and return estimates specific for their planned vineyard. The tab's instructions indicate which cells have values that could be modified. </t>
    </r>
  </si>
  <si>
    <r>
      <rPr>
        <sz val="16"/>
        <color rgb="FF000000"/>
        <rFont val="Calibri"/>
        <family val="2"/>
      </rPr>
      <t xml:space="preserve">□ </t>
    </r>
    <r>
      <rPr>
        <sz val="16"/>
        <color rgb="FF000000"/>
        <rFont val="Times New Roman"/>
        <family val="1"/>
      </rPr>
      <t xml:space="preserve">Yellow cells throughout the workbook are designed to be modified.  </t>
    </r>
  </si>
  <si>
    <r>
      <rPr>
        <sz val="16"/>
        <color rgb="FF000000"/>
        <rFont val="Calibri"/>
        <family val="2"/>
      </rPr>
      <t xml:space="preserve">□ </t>
    </r>
    <r>
      <rPr>
        <sz val="16"/>
        <color rgb="FF000000"/>
        <rFont val="Times New Roman"/>
        <family val="1"/>
      </rPr>
      <t xml:space="preserve">Gray cells can be modified, but discretion is advised because these changes might represent values the vineyard operator does not have control over. </t>
    </r>
  </si>
  <si>
    <r>
      <rPr>
        <sz val="16"/>
        <color rgb="FF000000"/>
        <rFont val="Calibri"/>
        <family val="2"/>
      </rPr>
      <t xml:space="preserve">□ </t>
    </r>
    <r>
      <rPr>
        <sz val="16"/>
        <color rgb="FF000000"/>
        <rFont val="Times New Roman"/>
        <family val="1"/>
      </rPr>
      <t xml:space="preserve">The remaining cells can be modified, but changes will affect model output and could render the model inoperable.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</si>
</sst>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 numFmtId="167" formatCode="0.00000"/>
    <numFmt numFmtId="168" formatCode="0.0%"/>
    <numFmt numFmtId="169" formatCode="0.0000%"/>
    <numFmt numFmtId="170" formatCode="&quot;$&quot;#,##0.00"/>
    <numFmt numFmtId="171" formatCode="0.0"/>
  </numFmts>
  <fonts count="55" x14ac:knownFonts="1">
    <font>
      <sz val="11"/>
      <color theme="1"/>
      <name val="Calibri"/>
      <family val="2"/>
      <scheme val="minor"/>
    </font>
    <font>
      <sz val="11"/>
      <color theme="1"/>
      <name val="Calibri"/>
      <family val="2"/>
      <scheme val="minor"/>
    </font>
    <font>
      <sz val="16"/>
      <color theme="1"/>
      <name val="Calibri"/>
      <family val="2"/>
      <scheme val="minor"/>
    </font>
    <font>
      <u/>
      <sz val="11"/>
      <color theme="10"/>
      <name val="Calibri"/>
      <family val="2"/>
      <scheme val="minor"/>
    </font>
    <font>
      <sz val="10"/>
      <color theme="1"/>
      <name val="Calibri"/>
      <family val="2"/>
      <scheme val="minor"/>
    </font>
    <font>
      <sz val="14"/>
      <color rgb="FF000000"/>
      <name val="Times New Roman"/>
      <family val="1"/>
    </font>
    <font>
      <sz val="12"/>
      <color theme="1"/>
      <name val="Calibri"/>
      <family val="2"/>
      <scheme val="minor"/>
    </font>
    <font>
      <sz val="10"/>
      <name val="Arial"/>
      <family val="2"/>
    </font>
    <font>
      <sz val="20"/>
      <color theme="1"/>
      <name val="Calibri"/>
      <family val="2"/>
      <scheme val="minor"/>
    </font>
    <font>
      <b/>
      <sz val="16"/>
      <color rgb="FF000000"/>
      <name val="Times New Roman"/>
      <family val="1"/>
    </font>
    <font>
      <sz val="16"/>
      <color rgb="FF000000"/>
      <name val="Times New Roman"/>
      <family val="1"/>
    </font>
    <font>
      <b/>
      <i/>
      <sz val="16"/>
      <color rgb="FF000000"/>
      <name val="Times New Roman"/>
      <family val="1"/>
    </font>
    <font>
      <i/>
      <sz val="16"/>
      <color rgb="FF000000"/>
      <name val="Times New Roman"/>
      <family val="1"/>
    </font>
    <font>
      <sz val="16"/>
      <color theme="1"/>
      <name val="Times New Roman"/>
      <family val="1"/>
    </font>
    <font>
      <i/>
      <sz val="16"/>
      <color theme="1"/>
      <name val="Times New Roman"/>
      <family val="1"/>
    </font>
    <font>
      <sz val="16"/>
      <name val="Times New Roman"/>
      <family val="1"/>
    </font>
    <font>
      <b/>
      <sz val="18"/>
      <color theme="1"/>
      <name val="Times New Roman"/>
      <family val="1"/>
    </font>
    <font>
      <sz val="11"/>
      <color theme="1"/>
      <name val="Times New Roman"/>
      <family val="1"/>
    </font>
    <font>
      <u/>
      <sz val="11"/>
      <color theme="10"/>
      <name val="Times New Roman"/>
      <family val="1"/>
    </font>
    <font>
      <u/>
      <sz val="16"/>
      <color theme="10"/>
      <name val="Times New Roman"/>
      <family val="1"/>
    </font>
    <font>
      <b/>
      <sz val="16"/>
      <color theme="1"/>
      <name val="Times New Roman"/>
      <family val="1"/>
    </font>
    <font>
      <sz val="12"/>
      <color theme="1"/>
      <name val="Times New Roman"/>
      <family val="1"/>
    </font>
    <font>
      <i/>
      <u/>
      <sz val="16"/>
      <color theme="10"/>
      <name val="Times New Roman"/>
      <family val="1"/>
    </font>
    <font>
      <b/>
      <sz val="12"/>
      <name val="Times New Roman"/>
      <family val="1"/>
    </font>
    <font>
      <sz val="12"/>
      <name val="Times New Roman"/>
      <family val="1"/>
    </font>
    <font>
      <sz val="14"/>
      <name val="Times New Roman"/>
      <family val="1"/>
    </font>
    <font>
      <sz val="11"/>
      <name val="Times New Roman"/>
      <family val="1"/>
    </font>
    <font>
      <b/>
      <sz val="11"/>
      <name val="Times New Roman"/>
      <family val="1"/>
    </font>
    <font>
      <b/>
      <sz val="16"/>
      <name val="Times New Roman"/>
      <family val="1"/>
    </font>
    <font>
      <sz val="10"/>
      <color theme="1"/>
      <name val="Times New Roman"/>
      <family val="1"/>
    </font>
    <font>
      <b/>
      <sz val="11"/>
      <color theme="1"/>
      <name val="Times New Roman"/>
      <family val="1"/>
    </font>
    <font>
      <sz val="14"/>
      <color theme="1"/>
      <name val="Times New Roman"/>
      <family val="1"/>
    </font>
    <font>
      <b/>
      <sz val="14"/>
      <color theme="1"/>
      <name val="Times New Roman"/>
      <family val="1"/>
    </font>
    <font>
      <sz val="20"/>
      <color theme="1"/>
      <name val="Times New Roman"/>
      <family val="1"/>
    </font>
    <font>
      <sz val="11"/>
      <color rgb="FFFF0000"/>
      <name val="Times New Roman"/>
      <family val="1"/>
    </font>
    <font>
      <sz val="10"/>
      <name val="Times New Roman"/>
      <family val="1"/>
    </font>
    <font>
      <sz val="22"/>
      <color theme="1"/>
      <name val="Times New Roman"/>
      <family val="1"/>
    </font>
    <font>
      <b/>
      <sz val="12"/>
      <color theme="1"/>
      <name val="Times New Roman"/>
      <family val="1"/>
    </font>
    <font>
      <b/>
      <sz val="10"/>
      <name val="Times New Roman"/>
      <family val="1"/>
    </font>
    <font>
      <b/>
      <sz val="20"/>
      <name val="Times New Roman"/>
      <family val="1"/>
    </font>
    <font>
      <b/>
      <sz val="14"/>
      <color theme="1"/>
      <name val="Calibri"/>
      <family val="2"/>
    </font>
    <font>
      <sz val="9"/>
      <color indexed="81"/>
      <name val="Tahoma"/>
      <family val="2"/>
    </font>
    <font>
      <b/>
      <sz val="9"/>
      <color indexed="81"/>
      <name val="Tahoma"/>
      <family val="2"/>
    </font>
    <font>
      <i/>
      <sz val="20"/>
      <color theme="1"/>
      <name val="Times New Roman"/>
      <family val="1"/>
    </font>
    <font>
      <u/>
      <sz val="16"/>
      <name val="Times New Roman"/>
      <family val="1"/>
    </font>
    <font>
      <i/>
      <sz val="14"/>
      <name val="Times New Roman"/>
      <family val="1"/>
    </font>
    <font>
      <i/>
      <sz val="11"/>
      <color theme="1"/>
      <name val="Times New Roman"/>
    </font>
    <font>
      <b/>
      <sz val="14"/>
      <color rgb="FF3333FF"/>
      <name val="Times New Roman"/>
      <family val="1"/>
    </font>
    <font>
      <u/>
      <sz val="12"/>
      <color theme="1"/>
      <name val="Times New Roman"/>
    </font>
    <font>
      <b/>
      <sz val="24"/>
      <color theme="1"/>
      <name val="Arial"/>
      <family val="2"/>
    </font>
    <font>
      <b/>
      <sz val="14"/>
      <color theme="1"/>
      <name val="Arial"/>
      <family val="2"/>
    </font>
    <font>
      <i/>
      <sz val="12"/>
      <color theme="1"/>
      <name val="Times New Roman"/>
      <family val="1"/>
    </font>
    <font>
      <sz val="14"/>
      <color theme="10"/>
      <name val="Times New Roman"/>
      <family val="1"/>
    </font>
    <font>
      <b/>
      <sz val="14"/>
      <name val="Times New Roman"/>
      <family val="1"/>
    </font>
    <font>
      <sz val="16"/>
      <color rgb="FF000000"/>
      <name val="Calibri"/>
      <family val="2"/>
    </font>
  </fonts>
  <fills count="2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5"/>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3" tint="0.79998168889431442"/>
        <bgColor indexed="64"/>
      </patternFill>
    </fill>
    <fill>
      <patternFill patternType="solid">
        <fgColor theme="6"/>
        <bgColor indexed="64"/>
      </patternFill>
    </fill>
    <fill>
      <patternFill patternType="solid">
        <fgColor theme="3" tint="0.59999389629810485"/>
        <bgColor indexed="64"/>
      </patternFill>
    </fill>
    <fill>
      <patternFill patternType="solid">
        <fgColor rgb="FF0070C0"/>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FFFFCC"/>
        <bgColor indexed="64"/>
      </patternFill>
    </fill>
    <fill>
      <patternFill patternType="solid">
        <fgColor rgb="FFFFCC99"/>
      </patternFill>
    </fill>
  </fills>
  <borders count="42">
    <border>
      <left/>
      <right/>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thin">
        <color auto="1"/>
      </right>
      <top style="thin">
        <color auto="1"/>
      </top>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double">
        <color auto="1"/>
      </bottom>
      <diagonal/>
    </border>
    <border>
      <left/>
      <right/>
      <top/>
      <bottom style="double">
        <color auto="1"/>
      </bottom>
      <diagonal/>
    </border>
    <border>
      <left style="thin">
        <color auto="1"/>
      </left>
      <right/>
      <top style="thin">
        <color auto="1"/>
      </top>
      <bottom style="medium">
        <color auto="1"/>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xf numFmtId="0" fontId="7" fillId="0" borderId="0"/>
  </cellStyleXfs>
  <cellXfs count="398">
    <xf numFmtId="0" fontId="0" fillId="0" borderId="0" xfId="0"/>
    <xf numFmtId="0" fontId="0" fillId="5" borderId="0" xfId="0" applyFill="1"/>
    <xf numFmtId="0" fontId="0" fillId="0" borderId="0" xfId="0" applyAlignment="1">
      <alignment horizontal="center" wrapText="1"/>
    </xf>
    <xf numFmtId="0" fontId="4" fillId="5" borderId="0" xfId="0" applyFont="1" applyFill="1"/>
    <xf numFmtId="0" fontId="0" fillId="5" borderId="0" xfId="0" applyFill="1" applyAlignment="1">
      <alignment horizontal="left" wrapText="1"/>
    </xf>
    <xf numFmtId="0" fontId="2" fillId="5" borderId="0" xfId="0" applyFont="1" applyFill="1"/>
    <xf numFmtId="0" fontId="3" fillId="5" borderId="0" xfId="3" applyFill="1"/>
    <xf numFmtId="0" fontId="6" fillId="5" borderId="0" xfId="0" applyFont="1" applyFill="1" applyAlignment="1">
      <alignment horizontal="center" wrapText="1"/>
    </xf>
    <xf numFmtId="0" fontId="0" fillId="5" borderId="0" xfId="0" applyFill="1" applyAlignment="1">
      <alignment wrapText="1"/>
    </xf>
    <xf numFmtId="0" fontId="2" fillId="0" borderId="0" xfId="0" applyFont="1"/>
    <xf numFmtId="0" fontId="6" fillId="0" borderId="0" xfId="0" applyFont="1"/>
    <xf numFmtId="0" fontId="10" fillId="0" borderId="0" xfId="0" applyFont="1" applyAlignment="1">
      <alignment vertical="center" wrapText="1"/>
    </xf>
    <xf numFmtId="0" fontId="2" fillId="0" borderId="0" xfId="0" applyFont="1" applyAlignment="1">
      <alignment wrapText="1"/>
    </xf>
    <xf numFmtId="0" fontId="17" fillId="0" borderId="0" xfId="0" applyFont="1"/>
    <xf numFmtId="0" fontId="6" fillId="0" borderId="0" xfId="0" applyFont="1" applyAlignment="1">
      <alignment horizontal="left"/>
    </xf>
    <xf numFmtId="0" fontId="0" fillId="0" borderId="0" xfId="0" applyAlignment="1">
      <alignment horizontal="left"/>
    </xf>
    <xf numFmtId="0" fontId="8" fillId="5" borderId="0" xfId="0" applyFont="1" applyFill="1"/>
    <xf numFmtId="0" fontId="16" fillId="0" borderId="0" xfId="0" applyFont="1"/>
    <xf numFmtId="0" fontId="21" fillId="0" borderId="0" xfId="0" applyFont="1"/>
    <xf numFmtId="0" fontId="28" fillId="0" borderId="0" xfId="3" applyFont="1" applyBorder="1" applyAlignment="1">
      <alignment horizontal="left"/>
    </xf>
    <xf numFmtId="0" fontId="15" fillId="0" borderId="0" xfId="3" applyFont="1" applyBorder="1" applyAlignment="1">
      <alignment horizontal="left"/>
    </xf>
    <xf numFmtId="0" fontId="28" fillId="0" borderId="0" xfId="3" applyFont="1" applyBorder="1"/>
    <xf numFmtId="0" fontId="15" fillId="0" borderId="0" xfId="3" applyFont="1" applyFill="1" applyBorder="1" applyAlignment="1">
      <alignment horizontal="left"/>
    </xf>
    <xf numFmtId="0" fontId="15" fillId="0" borderId="0" xfId="3" applyFont="1" applyBorder="1"/>
    <xf numFmtId="0" fontId="5" fillId="0" borderId="0" xfId="0" applyFont="1" applyAlignment="1">
      <alignment horizontal="center" vertical="top" wrapText="1"/>
    </xf>
    <xf numFmtId="0" fontId="0" fillId="0" borderId="0" xfId="0" applyAlignment="1">
      <alignment vertical="top"/>
    </xf>
    <xf numFmtId="0" fontId="17" fillId="5" borderId="0" xfId="0" applyFont="1" applyFill="1" applyAlignment="1">
      <alignment horizontal="center" vertical="center"/>
    </xf>
    <xf numFmtId="0" fontId="26" fillId="0" borderId="0" xfId="0" applyFont="1"/>
    <xf numFmtId="0" fontId="17" fillId="5" borderId="0" xfId="0" applyFont="1" applyFill="1" applyAlignment="1">
      <alignment horizontal="center" wrapText="1"/>
    </xf>
    <xf numFmtId="0" fontId="17" fillId="2" borderId="3" xfId="0" applyFont="1" applyFill="1" applyBorder="1" applyAlignment="1">
      <alignment horizontal="center"/>
    </xf>
    <xf numFmtId="0" fontId="17" fillId="6" borderId="5" xfId="0" applyFont="1" applyFill="1" applyBorder="1" applyAlignment="1">
      <alignment horizontal="center"/>
    </xf>
    <xf numFmtId="0" fontId="17" fillId="7" borderId="3" xfId="0" applyFont="1" applyFill="1" applyBorder="1" applyAlignment="1">
      <alignment horizontal="center"/>
    </xf>
    <xf numFmtId="0" fontId="17" fillId="5" borderId="0" xfId="0" applyFont="1" applyFill="1"/>
    <xf numFmtId="0" fontId="17" fillId="6" borderId="3" xfId="0" applyFont="1" applyFill="1" applyBorder="1" applyAlignment="1">
      <alignment horizontal="center"/>
    </xf>
    <xf numFmtId="0" fontId="17" fillId="0" borderId="3" xfId="0" applyFont="1" applyBorder="1" applyAlignment="1">
      <alignment horizontal="center"/>
    </xf>
    <xf numFmtId="165" fontId="17" fillId="6" borderId="3" xfId="2" applyNumberFormat="1" applyFont="1" applyFill="1" applyBorder="1" applyAlignment="1">
      <alignment horizontal="center"/>
    </xf>
    <xf numFmtId="0" fontId="18" fillId="5" borderId="0" xfId="3" applyFont="1" applyFill="1"/>
    <xf numFmtId="0" fontId="17" fillId="2" borderId="3" xfId="2" applyNumberFormat="1" applyFont="1" applyFill="1" applyBorder="1" applyAlignment="1">
      <alignment horizontal="center"/>
    </xf>
    <xf numFmtId="44" fontId="17" fillId="6" borderId="3" xfId="0" applyNumberFormat="1" applyFont="1" applyFill="1" applyBorder="1" applyAlignment="1">
      <alignment horizontal="center"/>
    </xf>
    <xf numFmtId="9" fontId="17" fillId="2" borderId="3" xfId="4" applyFont="1" applyFill="1" applyBorder="1" applyAlignment="1">
      <alignment horizontal="center"/>
    </xf>
    <xf numFmtId="0" fontId="29" fillId="5" borderId="0" xfId="0" applyFont="1" applyFill="1" applyAlignment="1">
      <alignment horizontal="left"/>
    </xf>
    <xf numFmtId="0" fontId="29" fillId="5" borderId="0" xfId="0" applyFont="1" applyFill="1"/>
    <xf numFmtId="0" fontId="18" fillId="0" borderId="0" xfId="3" applyFont="1"/>
    <xf numFmtId="0" fontId="30" fillId="2" borderId="0" xfId="0" applyFont="1" applyFill="1" applyAlignment="1">
      <alignment vertical="center"/>
    </xf>
    <xf numFmtId="0" fontId="17" fillId="0" borderId="15" xfId="0" applyFont="1" applyBorder="1"/>
    <xf numFmtId="0" fontId="17" fillId="0" borderId="13" xfId="0" applyFont="1" applyBorder="1"/>
    <xf numFmtId="0" fontId="32" fillId="0" borderId="13" xfId="0" applyFont="1" applyBorder="1"/>
    <xf numFmtId="0" fontId="17" fillId="0" borderId="14" xfId="0" applyFont="1" applyBorder="1"/>
    <xf numFmtId="165" fontId="32" fillId="0" borderId="15" xfId="2" applyNumberFormat="1" applyFont="1" applyBorder="1" applyAlignment="1"/>
    <xf numFmtId="165" fontId="31" fillId="0" borderId="0" xfId="0" applyNumberFormat="1" applyFont="1"/>
    <xf numFmtId="165" fontId="31" fillId="0" borderId="16" xfId="0" applyNumberFormat="1" applyFont="1" applyBorder="1"/>
    <xf numFmtId="165" fontId="31" fillId="0" borderId="0" xfId="0" applyNumberFormat="1" applyFont="1" applyAlignment="1">
      <alignment wrapText="1"/>
    </xf>
    <xf numFmtId="165" fontId="32" fillId="12" borderId="3" xfId="0" applyNumberFormat="1" applyFont="1" applyFill="1" applyBorder="1" applyAlignment="1">
      <alignment wrapText="1"/>
    </xf>
    <xf numFmtId="165" fontId="31" fillId="0" borderId="16" xfId="0" applyNumberFormat="1" applyFont="1" applyBorder="1" applyAlignment="1">
      <alignment wrapText="1"/>
    </xf>
    <xf numFmtId="165" fontId="32" fillId="0" borderId="17" xfId="2" applyNumberFormat="1" applyFont="1" applyBorder="1" applyAlignment="1"/>
    <xf numFmtId="165" fontId="31" fillId="0" borderId="18" xfId="0" applyNumberFormat="1" applyFont="1" applyBorder="1" applyAlignment="1">
      <alignment wrapText="1"/>
    </xf>
    <xf numFmtId="165" fontId="31" fillId="0" borderId="19" xfId="0" applyNumberFormat="1" applyFont="1" applyBorder="1" applyAlignment="1">
      <alignment wrapText="1"/>
    </xf>
    <xf numFmtId="8" fontId="17" fillId="0" borderId="0" xfId="0" applyNumberFormat="1" applyFont="1"/>
    <xf numFmtId="9" fontId="17" fillId="0" borderId="0" xfId="0" applyNumberFormat="1" applyFont="1"/>
    <xf numFmtId="165" fontId="17" fillId="0" borderId="0" xfId="0" applyNumberFormat="1" applyFont="1"/>
    <xf numFmtId="165" fontId="17" fillId="0" borderId="3" xfId="0" applyNumberFormat="1" applyFont="1" applyBorder="1" applyAlignment="1">
      <alignment horizontal="center"/>
    </xf>
    <xf numFmtId="165" fontId="34" fillId="11" borderId="3" xfId="0" applyNumberFormat="1" applyFont="1" applyFill="1" applyBorder="1" applyAlignment="1">
      <alignment horizontal="center"/>
    </xf>
    <xf numFmtId="0" fontId="35" fillId="0" borderId="0" xfId="5" applyFont="1"/>
    <xf numFmtId="165" fontId="17" fillId="11" borderId="3" xfId="0" applyNumberFormat="1" applyFont="1" applyFill="1" applyBorder="1" applyAlignment="1">
      <alignment horizontal="center"/>
    </xf>
    <xf numFmtId="0" fontId="32" fillId="0" borderId="2" xfId="0" applyFont="1" applyBorder="1"/>
    <xf numFmtId="0" fontId="30" fillId="0" borderId="0" xfId="0" applyFont="1"/>
    <xf numFmtId="1" fontId="17" fillId="0" borderId="0" xfId="0" applyNumberFormat="1" applyFont="1"/>
    <xf numFmtId="44" fontId="17" fillId="0" borderId="0" xfId="0" applyNumberFormat="1" applyFont="1"/>
    <xf numFmtId="165" fontId="17" fillId="0" borderId="0" xfId="2" applyNumberFormat="1" applyFont="1"/>
    <xf numFmtId="0" fontId="17" fillId="0" borderId="2" xfId="0" applyFont="1" applyBorder="1"/>
    <xf numFmtId="165" fontId="17" fillId="0" borderId="2" xfId="0" applyNumberFormat="1" applyFont="1" applyBorder="1"/>
    <xf numFmtId="165" fontId="30" fillId="0" borderId="0" xfId="0" applyNumberFormat="1" applyFont="1"/>
    <xf numFmtId="0" fontId="17" fillId="0" borderId="0" xfId="2" applyNumberFormat="1" applyFont="1"/>
    <xf numFmtId="0" fontId="17" fillId="2" borderId="3" xfId="2" applyNumberFormat="1" applyFont="1" applyFill="1" applyBorder="1"/>
    <xf numFmtId="0" fontId="27" fillId="0" borderId="0" xfId="0" applyFont="1"/>
    <xf numFmtId="0" fontId="17" fillId="2" borderId="24" xfId="0" applyFont="1" applyFill="1" applyBorder="1"/>
    <xf numFmtId="0" fontId="17" fillId="2" borderId="3" xfId="0" applyFont="1" applyFill="1" applyBorder="1"/>
    <xf numFmtId="165" fontId="17" fillId="2" borderId="3" xfId="0" applyNumberFormat="1" applyFont="1" applyFill="1" applyBorder="1"/>
    <xf numFmtId="165" fontId="17" fillId="4" borderId="6" xfId="2" applyNumberFormat="1" applyFont="1" applyFill="1" applyBorder="1"/>
    <xf numFmtId="164" fontId="17" fillId="2" borderId="3" xfId="0" applyNumberFormat="1" applyFont="1" applyFill="1" applyBorder="1"/>
    <xf numFmtId="165" fontId="17" fillId="2" borderId="3" xfId="2" applyNumberFormat="1" applyFont="1" applyFill="1" applyBorder="1"/>
    <xf numFmtId="0" fontId="30" fillId="6" borderId="24" xfId="0" applyFont="1" applyFill="1" applyBorder="1" applyProtection="1">
      <protection locked="0"/>
    </xf>
    <xf numFmtId="0" fontId="17" fillId="6" borderId="3" xfId="0" applyFont="1" applyFill="1" applyBorder="1" applyProtection="1">
      <protection locked="0"/>
    </xf>
    <xf numFmtId="164" fontId="17" fillId="9" borderId="25" xfId="1" applyNumberFormat="1" applyFont="1" applyFill="1" applyBorder="1" applyProtection="1">
      <protection locked="0"/>
    </xf>
    <xf numFmtId="165" fontId="17" fillId="2" borderId="0" xfId="2" applyNumberFormat="1" applyFont="1" applyFill="1" applyBorder="1"/>
    <xf numFmtId="0" fontId="17" fillId="2" borderId="26" xfId="0" applyFont="1" applyFill="1" applyBorder="1"/>
    <xf numFmtId="0" fontId="17" fillId="2" borderId="27" xfId="0" applyFont="1" applyFill="1" applyBorder="1"/>
    <xf numFmtId="165" fontId="17" fillId="2" borderId="27" xfId="2" applyNumberFormat="1" applyFont="1" applyFill="1" applyBorder="1"/>
    <xf numFmtId="165" fontId="17" fillId="4" borderId="35" xfId="2" applyNumberFormat="1" applyFont="1" applyFill="1" applyBorder="1"/>
    <xf numFmtId="0" fontId="17" fillId="0" borderId="25" xfId="0" applyFont="1" applyBorder="1" applyProtection="1">
      <protection locked="0"/>
    </xf>
    <xf numFmtId="0" fontId="32" fillId="0" borderId="0" xfId="0" applyFont="1"/>
    <xf numFmtId="0" fontId="32" fillId="0" borderId="16" xfId="0" applyFont="1" applyBorder="1"/>
    <xf numFmtId="165" fontId="32" fillId="0" borderId="8" xfId="0" applyNumberFormat="1" applyFont="1" applyBorder="1"/>
    <xf numFmtId="0" fontId="17" fillId="9" borderId="25" xfId="0" applyFont="1" applyFill="1" applyBorder="1" applyProtection="1">
      <protection locked="0"/>
    </xf>
    <xf numFmtId="0" fontId="32" fillId="0" borderId="12" xfId="0" applyFont="1" applyBorder="1"/>
    <xf numFmtId="165" fontId="32" fillId="0" borderId="13" xfId="0" applyNumberFormat="1" applyFont="1" applyBorder="1"/>
    <xf numFmtId="0" fontId="32" fillId="0" borderId="15" xfId="0" applyFont="1" applyBorder="1"/>
    <xf numFmtId="165" fontId="32" fillId="0" borderId="0" xfId="0" applyNumberFormat="1" applyFont="1"/>
    <xf numFmtId="0" fontId="17" fillId="0" borderId="16" xfId="0" applyFont="1" applyBorder="1"/>
    <xf numFmtId="0" fontId="32" fillId="0" borderId="17" xfId="0" applyFont="1" applyBorder="1"/>
    <xf numFmtId="0" fontId="32" fillId="0" borderId="18" xfId="0" applyFont="1" applyBorder="1"/>
    <xf numFmtId="165" fontId="32" fillId="0" borderId="18" xfId="0" applyNumberFormat="1" applyFont="1" applyBorder="1"/>
    <xf numFmtId="0" fontId="17" fillId="0" borderId="19" xfId="0" applyFont="1" applyBorder="1"/>
    <xf numFmtId="165" fontId="16" fillId="0" borderId="0" xfId="0" applyNumberFormat="1" applyFont="1"/>
    <xf numFmtId="0" fontId="17" fillId="6" borderId="26" xfId="0" applyFont="1" applyFill="1" applyBorder="1" applyProtection="1">
      <protection locked="0"/>
    </xf>
    <xf numFmtId="0" fontId="17" fillId="6" borderId="27" xfId="0" applyFont="1" applyFill="1" applyBorder="1" applyProtection="1">
      <protection locked="0"/>
    </xf>
    <xf numFmtId="0" fontId="17" fillId="9" borderId="28" xfId="0" applyFont="1" applyFill="1" applyBorder="1" applyProtection="1">
      <protection locked="0"/>
    </xf>
    <xf numFmtId="165" fontId="17" fillId="5" borderId="0" xfId="2" applyNumberFormat="1" applyFont="1" applyFill="1" applyBorder="1"/>
    <xf numFmtId="0" fontId="37" fillId="0" borderId="0" xfId="0" applyFont="1"/>
    <xf numFmtId="0" fontId="35" fillId="0" borderId="0" xfId="0" applyFont="1"/>
    <xf numFmtId="166" fontId="35" fillId="0" borderId="0" xfId="0" applyNumberFormat="1" applyFont="1"/>
    <xf numFmtId="10" fontId="35" fillId="0" borderId="0" xfId="0" applyNumberFormat="1" applyFont="1"/>
    <xf numFmtId="9" fontId="35" fillId="0" borderId="0" xfId="0" applyNumberFormat="1" applyFont="1"/>
    <xf numFmtId="0" fontId="38" fillId="0" borderId="0" xfId="0" applyFont="1"/>
    <xf numFmtId="1" fontId="35" fillId="0" borderId="0" xfId="0" applyNumberFormat="1" applyFont="1"/>
    <xf numFmtId="167" fontId="35" fillId="0" borderId="0" xfId="0" applyNumberFormat="1" applyFont="1"/>
    <xf numFmtId="166" fontId="38" fillId="0" borderId="0" xfId="0" applyNumberFormat="1" applyFont="1"/>
    <xf numFmtId="0" fontId="31" fillId="0" borderId="0" xfId="0" applyFont="1"/>
    <xf numFmtId="166" fontId="32" fillId="0" borderId="7" xfId="0" applyNumberFormat="1" applyFont="1" applyBorder="1"/>
    <xf numFmtId="44" fontId="17" fillId="0" borderId="0" xfId="2" applyFont="1"/>
    <xf numFmtId="0" fontId="30" fillId="0" borderId="3" xfId="0" applyFont="1" applyBorder="1"/>
    <xf numFmtId="0" fontId="30" fillId="0" borderId="3" xfId="0" applyFont="1" applyBorder="1" applyAlignment="1">
      <alignment horizontal="center"/>
    </xf>
    <xf numFmtId="1" fontId="30" fillId="0" borderId="4" xfId="0" applyNumberFormat="1" applyFont="1" applyBorder="1"/>
    <xf numFmtId="0" fontId="17" fillId="17" borderId="0" xfId="0" applyFont="1" applyFill="1" applyAlignment="1">
      <alignment horizontal="left"/>
    </xf>
    <xf numFmtId="0" fontId="17" fillId="3" borderId="0" xfId="0" applyFont="1" applyFill="1" applyAlignment="1">
      <alignment horizontal="left"/>
    </xf>
    <xf numFmtId="0" fontId="17" fillId="0" borderId="0" xfId="0" applyFont="1" applyAlignment="1">
      <alignment horizontal="left"/>
    </xf>
    <xf numFmtId="0" fontId="17" fillId="16" borderId="3" xfId="0" applyFont="1" applyFill="1" applyBorder="1"/>
    <xf numFmtId="44" fontId="17" fillId="16" borderId="3" xfId="2" applyFont="1" applyFill="1" applyBorder="1"/>
    <xf numFmtId="0" fontId="17" fillId="0" borderId="4" xfId="0" applyFont="1" applyBorder="1"/>
    <xf numFmtId="0" fontId="30" fillId="0" borderId="12" xfId="0" applyFont="1" applyBorder="1"/>
    <xf numFmtId="0" fontId="17" fillId="0" borderId="21" xfId="0" applyFont="1" applyBorder="1"/>
    <xf numFmtId="44" fontId="17" fillId="0" borderId="16" xfId="0" applyNumberFormat="1" applyFont="1" applyBorder="1"/>
    <xf numFmtId="0" fontId="30" fillId="0" borderId="20" xfId="0" applyFont="1" applyBorder="1"/>
    <xf numFmtId="0" fontId="17" fillId="8" borderId="7" xfId="0" applyFont="1" applyFill="1" applyBorder="1"/>
    <xf numFmtId="44" fontId="17" fillId="8" borderId="7" xfId="0" applyNumberFormat="1" applyFont="1" applyFill="1" applyBorder="1"/>
    <xf numFmtId="8" fontId="17" fillId="0" borderId="16" xfId="0" applyNumberFormat="1" applyFont="1" applyBorder="1"/>
    <xf numFmtId="0" fontId="17" fillId="5" borderId="16" xfId="0" applyFont="1" applyFill="1" applyBorder="1"/>
    <xf numFmtId="0" fontId="17" fillId="2" borderId="8" xfId="0" applyFont="1" applyFill="1" applyBorder="1"/>
    <xf numFmtId="0" fontId="17" fillId="0" borderId="17" xfId="0" applyFont="1" applyBorder="1"/>
    <xf numFmtId="0" fontId="17" fillId="2" borderId="9" xfId="0" applyFont="1" applyFill="1" applyBorder="1"/>
    <xf numFmtId="44" fontId="17" fillId="0" borderId="22" xfId="2" applyFont="1" applyBorder="1"/>
    <xf numFmtId="0" fontId="30" fillId="0" borderId="17" xfId="0" applyFont="1" applyBorder="1"/>
    <xf numFmtId="44" fontId="30" fillId="0" borderId="19" xfId="0" applyNumberFormat="1" applyFont="1" applyBorder="1"/>
    <xf numFmtId="44" fontId="17" fillId="8" borderId="7" xfId="2" applyFont="1" applyFill="1" applyBorder="1"/>
    <xf numFmtId="44" fontId="17" fillId="0" borderId="16" xfId="2" applyFont="1" applyBorder="1"/>
    <xf numFmtId="44" fontId="30" fillId="0" borderId="0" xfId="0" applyNumberFormat="1" applyFont="1"/>
    <xf numFmtId="0" fontId="30" fillId="0" borderId="23" xfId="0" applyFont="1" applyBorder="1"/>
    <xf numFmtId="44" fontId="30" fillId="0" borderId="29" xfId="0" applyNumberFormat="1" applyFont="1" applyBorder="1"/>
    <xf numFmtId="0" fontId="17" fillId="0" borderId="29" xfId="0" applyFont="1" applyBorder="1"/>
    <xf numFmtId="0" fontId="16" fillId="0" borderId="15" xfId="0" applyFont="1" applyBorder="1"/>
    <xf numFmtId="0" fontId="38" fillId="0" borderId="3" xfId="0" applyFont="1" applyBorder="1"/>
    <xf numFmtId="44" fontId="17" fillId="0" borderId="0" xfId="2" applyFont="1" applyBorder="1"/>
    <xf numFmtId="0" fontId="35" fillId="2" borderId="3" xfId="0" applyFont="1" applyFill="1" applyBorder="1"/>
    <xf numFmtId="44" fontId="35" fillId="0" borderId="3" xfId="2" applyFont="1" applyFill="1" applyBorder="1"/>
    <xf numFmtId="168" fontId="17" fillId="5" borderId="0" xfId="4" applyNumberFormat="1" applyFont="1" applyFill="1"/>
    <xf numFmtId="8" fontId="17" fillId="5" borderId="0" xfId="0" applyNumberFormat="1" applyFont="1" applyFill="1"/>
    <xf numFmtId="8" fontId="17" fillId="5" borderId="0" xfId="0" applyNumberFormat="1" applyFont="1" applyFill="1" applyAlignment="1">
      <alignment wrapText="1"/>
    </xf>
    <xf numFmtId="9" fontId="17" fillId="5" borderId="0" xfId="0" applyNumberFormat="1" applyFont="1" applyFill="1"/>
    <xf numFmtId="165" fontId="17" fillId="5" borderId="0" xfId="0" applyNumberFormat="1" applyFont="1" applyFill="1"/>
    <xf numFmtId="165" fontId="34" fillId="5" borderId="0" xfId="0" applyNumberFormat="1" applyFont="1" applyFill="1"/>
    <xf numFmtId="0" fontId="17" fillId="0" borderId="0" xfId="0" applyFont="1" applyAlignment="1">
      <alignment horizontal="center"/>
    </xf>
    <xf numFmtId="0" fontId="0" fillId="5" borderId="0" xfId="0" applyFill="1" applyAlignment="1">
      <alignment vertical="center"/>
    </xf>
    <xf numFmtId="0" fontId="17" fillId="17" borderId="0" xfId="0" applyFont="1" applyFill="1" applyAlignment="1">
      <alignment vertical="center"/>
    </xf>
    <xf numFmtId="0" fontId="17" fillId="18" borderId="0" xfId="0" applyFont="1" applyFill="1"/>
    <xf numFmtId="165" fontId="36" fillId="10" borderId="5" xfId="0" applyNumberFormat="1" applyFont="1" applyFill="1" applyBorder="1" applyAlignment="1">
      <alignment horizontal="center" vertical="center"/>
    </xf>
    <xf numFmtId="0" fontId="18" fillId="5" borderId="0" xfId="3" applyFont="1" applyFill="1" applyBorder="1" applyAlignment="1">
      <alignment wrapText="1"/>
    </xf>
    <xf numFmtId="44" fontId="17" fillId="5" borderId="0" xfId="2" applyFont="1" applyFill="1" applyBorder="1" applyAlignment="1">
      <alignment horizontal="left" wrapText="1"/>
    </xf>
    <xf numFmtId="169" fontId="37" fillId="0" borderId="23" xfId="0" applyNumberFormat="1" applyFont="1" applyBorder="1" applyAlignment="1">
      <alignment horizontal="right"/>
    </xf>
    <xf numFmtId="165" fontId="17" fillId="0" borderId="37" xfId="0" applyNumberFormat="1" applyFont="1" applyBorder="1"/>
    <xf numFmtId="165" fontId="17" fillId="0" borderId="38" xfId="0" applyNumberFormat="1" applyFont="1" applyBorder="1"/>
    <xf numFmtId="2" fontId="17" fillId="0" borderId="0" xfId="0" applyNumberFormat="1" applyFont="1"/>
    <xf numFmtId="2" fontId="17" fillId="7" borderId="3" xfId="0" applyNumberFormat="1" applyFont="1" applyFill="1" applyBorder="1" applyAlignment="1">
      <alignment horizontal="center"/>
    </xf>
    <xf numFmtId="0" fontId="26" fillId="5" borderId="0" xfId="0" applyFont="1" applyFill="1" applyAlignment="1">
      <alignment wrapText="1"/>
    </xf>
    <xf numFmtId="164" fontId="17" fillId="0" borderId="16" xfId="1" applyNumberFormat="1" applyFont="1" applyBorder="1"/>
    <xf numFmtId="0" fontId="10" fillId="5" borderId="0" xfId="0" applyFont="1" applyFill="1" applyAlignment="1">
      <alignment horizontal="left" vertical="center" wrapText="1"/>
    </xf>
    <xf numFmtId="0" fontId="5" fillId="0" borderId="0" xfId="0" applyFont="1" applyAlignment="1">
      <alignment horizontal="left" vertical="top" wrapText="1" indent="2"/>
    </xf>
    <xf numFmtId="0" fontId="0" fillId="0" borderId="0" xfId="0" applyAlignment="1">
      <alignment horizontal="left" vertical="top" indent="2"/>
    </xf>
    <xf numFmtId="0" fontId="19" fillId="5" borderId="0" xfId="3" applyFont="1" applyFill="1" applyBorder="1" applyAlignment="1">
      <alignment horizontal="left" vertical="center"/>
    </xf>
    <xf numFmtId="0" fontId="30" fillId="0" borderId="17" xfId="0" applyFont="1" applyBorder="1" applyAlignment="1">
      <alignment wrapText="1"/>
    </xf>
    <xf numFmtId="44" fontId="30" fillId="0" borderId="19" xfId="0" applyNumberFormat="1" applyFont="1" applyBorder="1" applyAlignment="1">
      <alignment wrapText="1"/>
    </xf>
    <xf numFmtId="0" fontId="17" fillId="0" borderId="0" xfId="0" applyFont="1" applyAlignment="1">
      <alignment wrapText="1"/>
    </xf>
    <xf numFmtId="165" fontId="17" fillId="0" borderId="16" xfId="0" applyNumberFormat="1" applyFont="1" applyBorder="1"/>
    <xf numFmtId="170" fontId="35" fillId="0" borderId="3" xfId="0" applyNumberFormat="1" applyFont="1" applyBorder="1"/>
    <xf numFmtId="164" fontId="17" fillId="0" borderId="0" xfId="1" applyNumberFormat="1" applyFont="1"/>
    <xf numFmtId="0" fontId="32" fillId="0" borderId="12" xfId="0" applyFont="1" applyBorder="1" applyAlignment="1">
      <alignment vertical="center" wrapText="1"/>
    </xf>
    <xf numFmtId="171" fontId="32" fillId="0" borderId="0" xfId="0" applyNumberFormat="1" applyFont="1" applyAlignment="1">
      <alignment horizontal="center" vertical="center"/>
    </xf>
    <xf numFmtId="171" fontId="32" fillId="0" borderId="16" xfId="0" applyNumberFormat="1" applyFont="1" applyBorder="1" applyAlignment="1">
      <alignment horizontal="center" vertical="center"/>
    </xf>
    <xf numFmtId="0" fontId="15" fillId="0" borderId="0" xfId="3" applyFont="1" applyFill="1" applyBorder="1"/>
    <xf numFmtId="0" fontId="30" fillId="0" borderId="3" xfId="0" applyFont="1" applyBorder="1" applyAlignment="1">
      <alignment horizontal="center" wrapText="1"/>
    </xf>
    <xf numFmtId="0" fontId="17" fillId="0" borderId="3" xfId="0" applyFont="1" applyBorder="1" applyAlignment="1">
      <alignment horizontal="center" wrapText="1"/>
    </xf>
    <xf numFmtId="170" fontId="30" fillId="0" borderId="30" xfId="0" applyNumberFormat="1" applyFont="1" applyBorder="1"/>
    <xf numFmtId="1" fontId="17" fillId="0" borderId="16" xfId="0" applyNumberFormat="1" applyFont="1" applyBorder="1"/>
    <xf numFmtId="0" fontId="17" fillId="0" borderId="0" xfId="0" applyFont="1" applyProtection="1">
      <protection locked="0"/>
    </xf>
    <xf numFmtId="165" fontId="17" fillId="0" borderId="0" xfId="2" applyNumberFormat="1" applyFont="1" applyFill="1" applyBorder="1" applyProtection="1">
      <protection locked="0"/>
    </xf>
    <xf numFmtId="0" fontId="17" fillId="6" borderId="24" xfId="0" applyFont="1" applyFill="1" applyBorder="1" applyAlignment="1" applyProtection="1">
      <alignment wrapText="1"/>
      <protection locked="0"/>
    </xf>
    <xf numFmtId="0" fontId="17" fillId="2" borderId="3" xfId="0" applyFont="1" applyFill="1" applyBorder="1" applyAlignment="1">
      <alignment wrapText="1"/>
    </xf>
    <xf numFmtId="0" fontId="17" fillId="2" borderId="27" xfId="0" applyFont="1" applyFill="1" applyBorder="1" applyAlignment="1">
      <alignment wrapText="1"/>
    </xf>
    <xf numFmtId="0" fontId="32" fillId="0" borderId="0" xfId="0" applyFont="1" applyAlignment="1">
      <alignment wrapText="1"/>
    </xf>
    <xf numFmtId="0" fontId="32" fillId="0" borderId="13" xfId="0" applyFont="1" applyBorder="1" applyAlignment="1">
      <alignment wrapText="1"/>
    </xf>
    <xf numFmtId="0" fontId="32" fillId="0" borderId="18" xfId="0" applyFont="1" applyBorder="1" applyAlignment="1">
      <alignment wrapText="1"/>
    </xf>
    <xf numFmtId="0" fontId="16" fillId="0" borderId="0" xfId="0" applyFont="1" applyAlignment="1">
      <alignment wrapText="1"/>
    </xf>
    <xf numFmtId="165" fontId="17" fillId="6" borderId="3" xfId="2" applyNumberFormat="1" applyFont="1" applyFill="1" applyBorder="1" applyAlignment="1" applyProtection="1">
      <alignment wrapText="1"/>
      <protection locked="0"/>
    </xf>
    <xf numFmtId="165" fontId="17" fillId="6" borderId="27" xfId="2" applyNumberFormat="1" applyFont="1" applyFill="1" applyBorder="1" applyAlignment="1" applyProtection="1">
      <alignment wrapText="1"/>
      <protection locked="0"/>
    </xf>
    <xf numFmtId="0" fontId="35" fillId="0" borderId="0" xfId="0" applyFont="1" applyAlignment="1">
      <alignment wrapText="1"/>
    </xf>
    <xf numFmtId="164" fontId="17" fillId="0" borderId="3" xfId="1" applyNumberFormat="1" applyFont="1" applyBorder="1" applyAlignment="1">
      <alignment vertical="center" wrapText="1"/>
    </xf>
    <xf numFmtId="0" fontId="30" fillId="0" borderId="0" xfId="0" applyFont="1" applyAlignment="1">
      <alignment wrapText="1"/>
    </xf>
    <xf numFmtId="165" fontId="35" fillId="0" borderId="3" xfId="0" applyNumberFormat="1" applyFont="1" applyBorder="1"/>
    <xf numFmtId="165" fontId="35" fillId="0" borderId="3" xfId="0" applyNumberFormat="1" applyFont="1" applyBorder="1" applyAlignment="1">
      <alignment wrapText="1"/>
    </xf>
    <xf numFmtId="166" fontId="35" fillId="0" borderId="3" xfId="0" applyNumberFormat="1" applyFont="1" applyBorder="1"/>
    <xf numFmtId="165" fontId="17" fillId="0" borderId="3" xfId="0" applyNumberFormat="1" applyFont="1" applyBorder="1"/>
    <xf numFmtId="9" fontId="35" fillId="0" borderId="3" xfId="0" applyNumberFormat="1" applyFont="1" applyBorder="1"/>
    <xf numFmtId="9" fontId="35" fillId="0" borderId="3" xfId="0" applyNumberFormat="1" applyFont="1" applyBorder="1" applyAlignment="1">
      <alignment wrapText="1"/>
    </xf>
    <xf numFmtId="0" fontId="35" fillId="0" borderId="3" xfId="0" applyFont="1" applyBorder="1"/>
    <xf numFmtId="0" fontId="35" fillId="0" borderId="3" xfId="0" applyFont="1" applyBorder="1" applyAlignment="1">
      <alignment wrapText="1"/>
    </xf>
    <xf numFmtId="0" fontId="17" fillId="0" borderId="3" xfId="0" applyFont="1" applyBorder="1"/>
    <xf numFmtId="44" fontId="35" fillId="0" borderId="3" xfId="2" applyFont="1" applyFill="1" applyBorder="1" applyAlignment="1"/>
    <xf numFmtId="44" fontId="35" fillId="0" borderId="3" xfId="2" applyFont="1" applyFill="1" applyBorder="1" applyAlignment="1">
      <alignment wrapText="1"/>
    </xf>
    <xf numFmtId="44" fontId="35" fillId="0" borderId="6" xfId="2" applyFont="1" applyFill="1" applyBorder="1" applyAlignment="1"/>
    <xf numFmtId="0" fontId="15" fillId="0" borderId="0" xfId="3" applyFont="1" applyBorder="1" applyAlignment="1">
      <alignment horizontal="left" vertical="top" wrapText="1"/>
    </xf>
    <xf numFmtId="0" fontId="28" fillId="0" borderId="0" xfId="3" applyFont="1" applyBorder="1" applyAlignment="1">
      <alignment horizontal="left" wrapText="1"/>
    </xf>
    <xf numFmtId="0" fontId="15" fillId="0" borderId="0" xfId="3" applyFont="1" applyFill="1" applyBorder="1" applyAlignment="1">
      <alignment horizontal="left" vertical="top" wrapText="1"/>
    </xf>
    <xf numFmtId="0" fontId="28" fillId="0" borderId="0" xfId="3" applyFont="1" applyBorder="1" applyAlignment="1">
      <alignment horizontal="left" vertical="top" wrapText="1"/>
    </xf>
    <xf numFmtId="0" fontId="17" fillId="0" borderId="3" xfId="0" applyFont="1" applyBorder="1" applyAlignment="1">
      <alignment horizontal="left" wrapText="1"/>
    </xf>
    <xf numFmtId="0" fontId="30" fillId="5" borderId="32" xfId="0" applyFont="1" applyFill="1" applyBorder="1" applyAlignment="1">
      <alignment horizontal="center" wrapText="1"/>
    </xf>
    <xf numFmtId="0" fontId="30" fillId="0" borderId="15" xfId="0" applyFont="1" applyBorder="1" applyAlignment="1">
      <alignment wrapText="1"/>
    </xf>
    <xf numFmtId="0" fontId="30" fillId="0" borderId="0" xfId="0" applyFont="1" applyAlignment="1">
      <alignment horizontal="center"/>
    </xf>
    <xf numFmtId="0" fontId="30" fillId="0" borderId="0" xfId="0" applyFont="1" applyAlignment="1">
      <alignment horizontal="center" wrapText="1"/>
    </xf>
    <xf numFmtId="0" fontId="30" fillId="0" borderId="16" xfId="0" applyFont="1" applyBorder="1" applyAlignment="1">
      <alignment horizontal="center"/>
    </xf>
    <xf numFmtId="0" fontId="30" fillId="6" borderId="3" xfId="0" applyFont="1" applyFill="1" applyBorder="1" applyAlignment="1" applyProtection="1">
      <alignment horizontal="center"/>
      <protection locked="0"/>
    </xf>
    <xf numFmtId="0" fontId="30" fillId="6" borderId="3" xfId="0" applyFont="1" applyFill="1" applyBorder="1" applyAlignment="1" applyProtection="1">
      <alignment horizontal="center" wrapText="1"/>
      <protection locked="0"/>
    </xf>
    <xf numFmtId="0" fontId="30" fillId="6" borderId="25" xfId="0" applyFont="1" applyFill="1" applyBorder="1" applyAlignment="1" applyProtection="1">
      <alignment horizontal="center" wrapText="1"/>
      <protection locked="0"/>
    </xf>
    <xf numFmtId="0" fontId="35" fillId="0" borderId="3" xfId="0" applyFont="1" applyBorder="1" applyAlignment="1">
      <alignment horizontal="left" wrapText="1"/>
    </xf>
    <xf numFmtId="0" fontId="32" fillId="0" borderId="32" xfId="0" applyFont="1" applyBorder="1" applyAlignment="1">
      <alignment horizontal="center"/>
    </xf>
    <xf numFmtId="0" fontId="32" fillId="0" borderId="32" xfId="0" applyFont="1" applyBorder="1" applyAlignment="1">
      <alignment horizontal="center" wrapText="1"/>
    </xf>
    <xf numFmtId="165" fontId="32" fillId="0" borderId="32" xfId="0" applyNumberFormat="1" applyFont="1" applyBorder="1" applyAlignment="1">
      <alignment horizontal="center" wrapText="1"/>
    </xf>
    <xf numFmtId="0" fontId="32" fillId="0" borderId="3" xfId="0" applyFont="1" applyBorder="1" applyAlignment="1">
      <alignment horizontal="left"/>
    </xf>
    <xf numFmtId="0" fontId="32" fillId="0" borderId="3" xfId="0" applyFont="1" applyBorder="1" applyAlignment="1">
      <alignment horizontal="left" wrapText="1"/>
    </xf>
    <xf numFmtId="0" fontId="30" fillId="0" borderId="5" xfId="0" applyFont="1" applyBorder="1" applyAlignment="1">
      <alignment horizontal="center"/>
    </xf>
    <xf numFmtId="0" fontId="30" fillId="11" borderId="3" xfId="0" applyFont="1" applyFill="1" applyBorder="1" applyAlignment="1">
      <alignment horizontal="center"/>
    </xf>
    <xf numFmtId="0" fontId="33" fillId="5" borderId="0" xfId="0" applyFont="1" applyFill="1" applyAlignment="1">
      <alignment horizontal="center" vertical="center"/>
    </xf>
    <xf numFmtId="165" fontId="33" fillId="5" borderId="0" xfId="0" applyNumberFormat="1" applyFont="1" applyFill="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28" fillId="0" borderId="0" xfId="3" applyFont="1" applyBorder="1" applyAlignment="1">
      <alignment horizontal="left" indent="1"/>
    </xf>
    <xf numFmtId="0" fontId="47" fillId="5" borderId="0" xfId="3" applyFont="1" applyFill="1" applyAlignment="1">
      <alignment horizontal="left"/>
    </xf>
    <xf numFmtId="0" fontId="47" fillId="0" borderId="0" xfId="3" applyFont="1" applyBorder="1" applyAlignment="1">
      <alignment horizontal="left"/>
    </xf>
    <xf numFmtId="0" fontId="47" fillId="5" borderId="0" xfId="3" applyFont="1" applyFill="1" applyBorder="1" applyAlignment="1">
      <alignment horizontal="left" vertical="center"/>
    </xf>
    <xf numFmtId="0" fontId="47" fillId="5" borderId="0" xfId="3" applyFont="1" applyFill="1" applyBorder="1" applyAlignment="1">
      <alignment horizontal="left" vertical="center" wrapText="1"/>
    </xf>
    <xf numFmtId="0" fontId="47" fillId="0" borderId="0" xfId="3" applyFont="1" applyFill="1" applyBorder="1" applyAlignment="1">
      <alignment horizontal="left" vertical="center" indent="1"/>
    </xf>
    <xf numFmtId="0" fontId="47" fillId="0" borderId="0" xfId="3" applyFont="1" applyFill="1" applyBorder="1" applyAlignment="1">
      <alignment horizontal="left" vertical="center"/>
    </xf>
    <xf numFmtId="0" fontId="47" fillId="0" borderId="0" xfId="3" applyFont="1" applyFill="1" applyBorder="1" applyAlignment="1">
      <alignment horizontal="left" vertical="center" wrapText="1"/>
    </xf>
    <xf numFmtId="0" fontId="47" fillId="0" borderId="0" xfId="3" applyFont="1" applyFill="1" applyBorder="1" applyAlignment="1">
      <alignment horizontal="left" indent="1"/>
    </xf>
    <xf numFmtId="0" fontId="47" fillId="0" borderId="0" xfId="3" applyFont="1" applyBorder="1" applyAlignment="1">
      <alignment horizontal="left" indent="1"/>
    </xf>
    <xf numFmtId="0" fontId="24" fillId="0" borderId="0" xfId="3" applyFont="1" applyFill="1" applyBorder="1" applyAlignment="1">
      <alignment vertical="center" wrapText="1"/>
    </xf>
    <xf numFmtId="0" fontId="24" fillId="0" borderId="0" xfId="3" applyFont="1" applyFill="1" applyBorder="1"/>
    <xf numFmtId="0" fontId="24" fillId="0" borderId="0" xfId="3" applyFont="1" applyBorder="1"/>
    <xf numFmtId="0" fontId="24" fillId="0" borderId="0" xfId="3" applyFont="1" applyBorder="1" applyAlignment="1">
      <alignment vertical="center" wrapText="1"/>
    </xf>
    <xf numFmtId="0" fontId="24" fillId="0" borderId="0" xfId="3" applyFont="1" applyBorder="1" applyAlignment="1">
      <alignment vertical="top" wrapText="1"/>
    </xf>
    <xf numFmtId="0" fontId="24" fillId="0" borderId="0" xfId="3" applyFont="1" applyBorder="1" applyAlignment="1">
      <alignment horizontal="left"/>
    </xf>
    <xf numFmtId="0" fontId="24" fillId="0" borderId="0" xfId="3" applyFont="1" applyBorder="1" applyAlignment="1">
      <alignment wrapText="1"/>
    </xf>
    <xf numFmtId="0" fontId="24" fillId="19" borderId="40" xfId="3" applyFont="1" applyFill="1" applyBorder="1"/>
    <xf numFmtId="0" fontId="24" fillId="0" borderId="40" xfId="3" applyFont="1" applyFill="1" applyBorder="1"/>
    <xf numFmtId="0" fontId="24" fillId="2" borderId="6" xfId="3" applyFont="1" applyFill="1" applyBorder="1"/>
    <xf numFmtId="0" fontId="24" fillId="0" borderId="31" xfId="3" applyFont="1" applyBorder="1"/>
    <xf numFmtId="0" fontId="24" fillId="0" borderId="0" xfId="3" applyFont="1"/>
    <xf numFmtId="0" fontId="24" fillId="13" borderId="34" xfId="3" applyFont="1" applyFill="1" applyBorder="1"/>
    <xf numFmtId="0" fontId="24" fillId="13" borderId="33" xfId="3" applyFont="1" applyFill="1" applyBorder="1"/>
    <xf numFmtId="0" fontId="24" fillId="2" borderId="3" xfId="3" applyFont="1" applyFill="1" applyBorder="1" applyAlignment="1">
      <alignment horizontal="center" wrapText="1"/>
    </xf>
    <xf numFmtId="0" fontId="24" fillId="0" borderId="3" xfId="3" applyFont="1" applyBorder="1" applyAlignment="1">
      <alignment horizontal="center"/>
    </xf>
    <xf numFmtId="0" fontId="24" fillId="13" borderId="0" xfId="3" applyFont="1" applyFill="1" applyBorder="1"/>
    <xf numFmtId="0" fontId="24" fillId="13" borderId="0" xfId="3" applyFont="1" applyFill="1" applyBorder="1" applyAlignment="1">
      <alignment horizontal="center"/>
    </xf>
    <xf numFmtId="0" fontId="24" fillId="0" borderId="0" xfId="3" applyFont="1" applyFill="1"/>
    <xf numFmtId="0" fontId="24" fillId="2" borderId="31" xfId="3" applyFont="1" applyFill="1" applyBorder="1"/>
    <xf numFmtId="0" fontId="24" fillId="13" borderId="5" xfId="3" applyFont="1" applyFill="1" applyBorder="1" applyAlignment="1">
      <alignment horizontal="center"/>
    </xf>
    <xf numFmtId="0" fontId="24" fillId="2" borderId="3" xfId="3" applyFont="1" applyFill="1" applyBorder="1"/>
    <xf numFmtId="0" fontId="24" fillId="2" borderId="31" xfId="3" applyFont="1" applyFill="1" applyBorder="1" applyAlignment="1">
      <alignment horizontal="center" wrapText="1"/>
    </xf>
    <xf numFmtId="0" fontId="24" fillId="15" borderId="0" xfId="3" applyFont="1" applyFill="1" applyBorder="1"/>
    <xf numFmtId="0" fontId="24" fillId="13" borderId="6" xfId="3" applyFont="1" applyFill="1" applyBorder="1"/>
    <xf numFmtId="0" fontId="24" fillId="13" borderId="4" xfId="3" applyFont="1" applyFill="1" applyBorder="1"/>
    <xf numFmtId="0" fontId="24" fillId="13" borderId="4" xfId="3" applyFont="1" applyFill="1" applyBorder="1" applyAlignment="1">
      <alignment horizontal="center" wrapText="1"/>
    </xf>
    <xf numFmtId="0" fontId="24" fillId="13" borderId="5" xfId="3" applyFont="1" applyFill="1" applyBorder="1" applyAlignment="1">
      <alignment horizontal="center" wrapText="1"/>
    </xf>
    <xf numFmtId="0" fontId="24" fillId="0" borderId="32" xfId="3" applyFont="1" applyBorder="1" applyAlignment="1">
      <alignment horizontal="center"/>
    </xf>
    <xf numFmtId="0" fontId="24" fillId="0" borderId="31" xfId="3" applyFont="1" applyBorder="1" applyAlignment="1">
      <alignment horizontal="center"/>
    </xf>
    <xf numFmtId="0" fontId="24" fillId="13" borderId="4" xfId="3" applyFont="1" applyFill="1" applyBorder="1" applyAlignment="1">
      <alignment horizontal="center"/>
    </xf>
    <xf numFmtId="0" fontId="24" fillId="0" borderId="32" xfId="3" applyFont="1" applyFill="1" applyBorder="1" applyAlignment="1">
      <alignment horizontal="center"/>
    </xf>
    <xf numFmtId="0" fontId="24" fillId="0" borderId="3" xfId="3" applyFont="1" applyFill="1" applyBorder="1" applyAlignment="1">
      <alignment horizontal="center"/>
    </xf>
    <xf numFmtId="0" fontId="24" fillId="0" borderId="0" xfId="3" applyFont="1" applyFill="1" applyAlignment="1">
      <alignment horizontal="center"/>
    </xf>
    <xf numFmtId="0" fontId="24" fillId="0" borderId="3" xfId="3" applyFont="1" applyFill="1" applyBorder="1"/>
    <xf numFmtId="0" fontId="24" fillId="2" borderId="4" xfId="3" applyFont="1" applyFill="1" applyBorder="1"/>
    <xf numFmtId="0" fontId="24" fillId="2" borderId="5" xfId="3" applyFont="1" applyFill="1" applyBorder="1"/>
    <xf numFmtId="0" fontId="24" fillId="0" borderId="0" xfId="3" applyFont="1" applyAlignment="1">
      <alignment horizontal="center"/>
    </xf>
    <xf numFmtId="0" fontId="24" fillId="0" borderId="3" xfId="3" applyFont="1" applyBorder="1" applyAlignment="1">
      <alignment wrapText="1"/>
    </xf>
    <xf numFmtId="0" fontId="24" fillId="0" borderId="3" xfId="3" applyFont="1" applyBorder="1"/>
    <xf numFmtId="0" fontId="24" fillId="0" borderId="41" xfId="3" applyFont="1" applyBorder="1"/>
    <xf numFmtId="0" fontId="24" fillId="0" borderId="6" xfId="3" applyFont="1" applyBorder="1"/>
    <xf numFmtId="0" fontId="24" fillId="0" borderId="5" xfId="3" applyFont="1" applyBorder="1"/>
    <xf numFmtId="0" fontId="24" fillId="0" borderId="6" xfId="3" applyFont="1" applyBorder="1" applyAlignment="1">
      <alignment horizontal="left" wrapText="1"/>
    </xf>
    <xf numFmtId="0" fontId="24" fillId="0" borderId="5" xfId="3" applyFont="1" applyBorder="1" applyAlignment="1">
      <alignment horizontal="left"/>
    </xf>
    <xf numFmtId="0" fontId="24" fillId="0" borderId="10" xfId="3" applyFont="1" applyBorder="1"/>
    <xf numFmtId="0" fontId="24" fillId="0" borderId="36" xfId="3" applyFont="1" applyBorder="1"/>
    <xf numFmtId="0" fontId="24" fillId="0" borderId="11" xfId="3" applyFont="1" applyBorder="1"/>
    <xf numFmtId="0" fontId="24" fillId="0" borderId="32" xfId="3" applyFont="1" applyBorder="1"/>
    <xf numFmtId="0" fontId="24" fillId="0" borderId="4" xfId="3" applyFont="1" applyBorder="1" applyAlignment="1">
      <alignment horizontal="left"/>
    </xf>
    <xf numFmtId="0" fontId="24" fillId="0" borderId="3" xfId="3" applyFont="1" applyBorder="1" applyAlignment="1">
      <alignment horizontal="left" wrapText="1"/>
    </xf>
    <xf numFmtId="0" fontId="24" fillId="0" borderId="3" xfId="3" applyFont="1" applyBorder="1" applyAlignment="1">
      <alignment horizontal="center" wrapText="1"/>
    </xf>
    <xf numFmtId="0" fontId="24" fillId="0" borderId="3" xfId="3" applyFont="1" applyBorder="1" applyAlignment="1">
      <alignment horizontal="left"/>
    </xf>
    <xf numFmtId="0" fontId="23" fillId="0" borderId="0" xfId="3" applyFont="1" applyBorder="1" applyAlignment="1">
      <alignment horizontal="left" indent="1"/>
    </xf>
    <xf numFmtId="0" fontId="28" fillId="0" borderId="0" xfId="3" applyFont="1" applyBorder="1" applyAlignment="1">
      <alignment wrapText="1"/>
    </xf>
    <xf numFmtId="0" fontId="19" fillId="0" borderId="0" xfId="3" applyFont="1" applyBorder="1" applyAlignment="1">
      <alignment horizontal="center" vertical="center" wrapText="1"/>
    </xf>
    <xf numFmtId="0" fontId="48" fillId="0" borderId="0" xfId="0" applyFont="1"/>
    <xf numFmtId="0" fontId="10" fillId="0" borderId="0" xfId="0" applyFont="1" applyAlignment="1">
      <alignment horizontal="left" vertical="center" wrapText="1"/>
    </xf>
    <xf numFmtId="0" fontId="49" fillId="0" borderId="0" xfId="0" applyFont="1" applyAlignment="1">
      <alignment horizontal="center"/>
    </xf>
    <xf numFmtId="0" fontId="19" fillId="0" borderId="0" xfId="3" applyFont="1" applyBorder="1" applyAlignment="1">
      <alignment horizontal="center" vertical="center" wrapText="1"/>
    </xf>
    <xf numFmtId="44" fontId="24" fillId="0" borderId="3" xfId="3" applyNumberFormat="1" applyFont="1" applyBorder="1" applyAlignment="1">
      <alignment horizontal="left"/>
    </xf>
    <xf numFmtId="44" fontId="24" fillId="0" borderId="6" xfId="3" applyNumberFormat="1" applyFont="1" applyBorder="1" applyAlignment="1">
      <alignment horizontal="left"/>
    </xf>
    <xf numFmtId="44" fontId="24" fillId="0" borderId="5" xfId="3" applyNumberFormat="1" applyFont="1" applyBorder="1" applyAlignment="1">
      <alignment horizontal="center"/>
    </xf>
    <xf numFmtId="44" fontId="24" fillId="0" borderId="6" xfId="3" applyNumberFormat="1" applyFont="1" applyBorder="1" applyAlignment="1">
      <alignment horizontal="center"/>
    </xf>
    <xf numFmtId="44" fontId="24" fillId="0" borderId="5" xfId="3" applyNumberFormat="1" applyFont="1" applyBorder="1" applyAlignment="1">
      <alignment horizontal="left"/>
    </xf>
    <xf numFmtId="0" fontId="24" fillId="0" borderId="3" xfId="3" applyFont="1" applyBorder="1" applyAlignment="1">
      <alignment horizontal="left" wrapText="1"/>
    </xf>
    <xf numFmtId="0" fontId="24" fillId="0" borderId="6" xfId="3" applyFont="1" applyBorder="1" applyAlignment="1">
      <alignment horizontal="left" wrapText="1"/>
    </xf>
    <xf numFmtId="0" fontId="24" fillId="0" borderId="31" xfId="3" applyFont="1" applyBorder="1" applyAlignment="1">
      <alignment horizontal="left" wrapText="1"/>
    </xf>
    <xf numFmtId="0" fontId="24" fillId="0" borderId="32" xfId="3" applyFont="1" applyBorder="1" applyAlignment="1">
      <alignment horizontal="left" wrapText="1"/>
    </xf>
    <xf numFmtId="0" fontId="24" fillId="0" borderId="39" xfId="3" applyFont="1" applyBorder="1" applyAlignment="1">
      <alignment horizontal="left" wrapText="1"/>
    </xf>
    <xf numFmtId="0" fontId="24" fillId="0" borderId="36" xfId="3" applyFont="1" applyBorder="1" applyAlignment="1">
      <alignment horizontal="left" wrapText="1"/>
    </xf>
    <xf numFmtId="0" fontId="28" fillId="0" borderId="0" xfId="3" applyFont="1" applyBorder="1" applyAlignment="1">
      <alignment horizontal="left" wrapText="1" indent="1"/>
    </xf>
    <xf numFmtId="0" fontId="24" fillId="13" borderId="6" xfId="3" applyFont="1" applyFill="1" applyBorder="1" applyAlignment="1">
      <alignment horizontal="left"/>
    </xf>
    <xf numFmtId="0" fontId="24" fillId="13" borderId="4" xfId="3" applyFont="1" applyFill="1" applyBorder="1" applyAlignment="1">
      <alignment horizontal="left"/>
    </xf>
    <xf numFmtId="0" fontId="23" fillId="0" borderId="0" xfId="3" applyFont="1" applyBorder="1" applyAlignment="1">
      <alignment horizontal="left" wrapText="1" indent="1"/>
    </xf>
    <xf numFmtId="0" fontId="15" fillId="0" borderId="0" xfId="3" applyFont="1" applyFill="1" applyBorder="1" applyAlignment="1">
      <alignment horizontal="left" vertical="top" wrapText="1"/>
    </xf>
    <xf numFmtId="0" fontId="15" fillId="0" borderId="0" xfId="3" applyFont="1" applyBorder="1" applyAlignment="1">
      <alignment horizontal="left" vertical="top" wrapText="1"/>
    </xf>
    <xf numFmtId="0" fontId="24" fillId="0" borderId="5" xfId="3" applyFont="1" applyBorder="1" applyAlignment="1">
      <alignment horizontal="left" wrapText="1"/>
    </xf>
    <xf numFmtId="0" fontId="28" fillId="0" borderId="0" xfId="3" applyFont="1" applyBorder="1" applyAlignment="1">
      <alignment horizontal="left" wrapText="1"/>
    </xf>
    <xf numFmtId="0" fontId="15" fillId="0" borderId="0" xfId="3" applyFont="1" applyBorder="1" applyAlignment="1">
      <alignment horizontal="left" wrapText="1"/>
    </xf>
    <xf numFmtId="0" fontId="15" fillId="0" borderId="0" xfId="3" applyFont="1" applyFill="1" applyBorder="1" applyAlignment="1">
      <alignment horizontal="left" vertical="center" wrapText="1"/>
    </xf>
    <xf numFmtId="0" fontId="28" fillId="0" borderId="0" xfId="3" applyFont="1" applyBorder="1" applyAlignment="1">
      <alignment horizontal="left" vertical="top" wrapText="1"/>
    </xf>
    <xf numFmtId="0" fontId="10" fillId="0" borderId="0" xfId="0" applyFont="1" applyAlignment="1">
      <alignment horizontal="left" vertical="top" wrapText="1"/>
    </xf>
    <xf numFmtId="0" fontId="9" fillId="0" borderId="0" xfId="0" applyFont="1" applyAlignment="1">
      <alignment horizontal="center" vertical="center" wrapText="1"/>
    </xf>
    <xf numFmtId="0" fontId="10" fillId="0" borderId="0" xfId="0" applyFont="1" applyAlignment="1">
      <alignment horizontal="left" vertical="center" wrapText="1"/>
    </xf>
    <xf numFmtId="0" fontId="9" fillId="0" borderId="0" xfId="0" applyFont="1" applyAlignment="1">
      <alignment horizontal="left" vertical="center" wrapText="1"/>
    </xf>
    <xf numFmtId="0" fontId="19" fillId="0" borderId="0" xfId="3" applyFont="1" applyFill="1" applyBorder="1" applyAlignment="1">
      <alignment horizontal="center" vertical="top" wrapText="1"/>
    </xf>
    <xf numFmtId="0" fontId="10" fillId="5" borderId="0" xfId="0" applyFont="1" applyFill="1" applyAlignment="1">
      <alignment horizontal="left" vertical="center" wrapText="1"/>
    </xf>
    <xf numFmtId="0" fontId="24" fillId="0" borderId="3" xfId="3" applyFont="1" applyBorder="1" applyAlignment="1">
      <alignment horizontal="center" wrapText="1"/>
    </xf>
    <xf numFmtId="0" fontId="24" fillId="0" borderId="0" xfId="3" applyFont="1" applyBorder="1" applyAlignment="1">
      <alignment horizontal="left" vertical="top" wrapText="1"/>
    </xf>
    <xf numFmtId="0" fontId="13" fillId="0" borderId="0" xfId="0" applyFont="1" applyAlignment="1">
      <alignment horizontal="left" vertical="top"/>
    </xf>
    <xf numFmtId="0" fontId="13" fillId="0" borderId="0" xfId="0" applyFont="1" applyAlignment="1">
      <alignment horizontal="left" vertical="top" wrapText="1"/>
    </xf>
    <xf numFmtId="0" fontId="28" fillId="0" borderId="0" xfId="3" applyFont="1" applyFill="1" applyBorder="1" applyAlignment="1">
      <alignment horizontal="left" wrapText="1"/>
    </xf>
    <xf numFmtId="0" fontId="47" fillId="5" borderId="0" xfId="3" applyFont="1" applyFill="1" applyBorder="1" applyAlignment="1">
      <alignment horizontal="left" vertical="center" wrapText="1"/>
    </xf>
    <xf numFmtId="0" fontId="10" fillId="0" borderId="0" xfId="0" applyFont="1" applyAlignment="1">
      <alignment horizontal="left" wrapText="1"/>
    </xf>
    <xf numFmtId="0" fontId="47" fillId="0" borderId="0" xfId="3" applyFont="1" applyFill="1" applyBorder="1" applyAlignment="1">
      <alignment horizontal="left" vertical="center" wrapText="1" indent="1"/>
    </xf>
    <xf numFmtId="0" fontId="26" fillId="5" borderId="4" xfId="3" applyFont="1" applyFill="1" applyBorder="1" applyAlignment="1">
      <alignment horizontal="left"/>
    </xf>
    <xf numFmtId="0" fontId="26" fillId="5" borderId="5" xfId="3" applyFont="1" applyFill="1" applyBorder="1" applyAlignment="1">
      <alignment horizontal="left"/>
    </xf>
    <xf numFmtId="0" fontId="26" fillId="5" borderId="2" xfId="3" applyFont="1" applyFill="1" applyBorder="1" applyAlignment="1">
      <alignment horizontal="left"/>
    </xf>
    <xf numFmtId="0" fontId="26" fillId="5" borderId="11" xfId="3" applyFont="1" applyFill="1" applyBorder="1" applyAlignment="1">
      <alignment horizontal="left"/>
    </xf>
    <xf numFmtId="0" fontId="26" fillId="5" borderId="1" xfId="3" applyFont="1" applyFill="1" applyBorder="1" applyAlignment="1">
      <alignment horizontal="left"/>
    </xf>
    <xf numFmtId="0" fontId="26" fillId="5" borderId="10" xfId="3" applyFont="1" applyFill="1" applyBorder="1" applyAlignment="1">
      <alignment horizontal="left"/>
    </xf>
    <xf numFmtId="0" fontId="17" fillId="0" borderId="0" xfId="0" applyFont="1"/>
    <xf numFmtId="0" fontId="26" fillId="2" borderId="36" xfId="0" applyFont="1" applyFill="1" applyBorder="1" applyAlignment="1">
      <alignment horizontal="left" vertical="center"/>
    </xf>
    <xf numFmtId="0" fontId="26" fillId="2" borderId="1" xfId="0" applyFont="1" applyFill="1" applyBorder="1" applyAlignment="1">
      <alignment horizontal="left" vertical="center"/>
    </xf>
    <xf numFmtId="0" fontId="26" fillId="2" borderId="5" xfId="0" applyFont="1" applyFill="1" applyBorder="1" applyAlignment="1">
      <alignment horizontal="left" vertical="center"/>
    </xf>
    <xf numFmtId="0" fontId="26" fillId="5" borderId="4" xfId="0" applyFont="1" applyFill="1" applyBorder="1" applyAlignment="1">
      <alignment horizontal="left"/>
    </xf>
    <xf numFmtId="0" fontId="26" fillId="5" borderId="5" xfId="0" applyFont="1" applyFill="1" applyBorder="1" applyAlignment="1">
      <alignment horizontal="left"/>
    </xf>
    <xf numFmtId="0" fontId="17" fillId="6" borderId="3" xfId="0" applyFont="1" applyFill="1" applyBorder="1" applyAlignment="1">
      <alignment horizontal="left" vertical="center" wrapText="1"/>
    </xf>
    <xf numFmtId="0" fontId="0" fillId="0" borderId="23" xfId="0" applyBorder="1" applyAlignment="1">
      <alignment horizontal="center" wrapText="1"/>
    </xf>
    <xf numFmtId="0" fontId="0" fillId="0" borderId="29" xfId="0" applyBorder="1" applyAlignment="1">
      <alignment horizontal="center" wrapText="1"/>
    </xf>
    <xf numFmtId="0" fontId="0" fillId="0" borderId="30" xfId="0" applyBorder="1" applyAlignment="1">
      <alignment horizontal="center" wrapText="1"/>
    </xf>
    <xf numFmtId="0" fontId="17" fillId="0" borderId="23"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26" fillId="5" borderId="0" xfId="0" applyFont="1" applyFill="1" applyAlignment="1">
      <alignment horizontal="left" wrapText="1"/>
    </xf>
    <xf numFmtId="0" fontId="32" fillId="0" borderId="23" xfId="0" applyFont="1" applyBorder="1" applyAlignment="1">
      <alignment horizontal="left" wrapText="1"/>
    </xf>
    <xf numFmtId="0" fontId="32" fillId="0" borderId="29" xfId="0" applyFont="1" applyBorder="1" applyAlignment="1">
      <alignment horizontal="left" wrapText="1"/>
    </xf>
    <xf numFmtId="0" fontId="32" fillId="0" borderId="30" xfId="0" applyFont="1" applyBorder="1" applyAlignment="1">
      <alignment horizontal="left" wrapText="1"/>
    </xf>
    <xf numFmtId="0" fontId="33" fillId="17" borderId="0" xfId="0" applyFont="1" applyFill="1" applyAlignment="1">
      <alignment horizontal="left" vertical="top" wrapText="1"/>
    </xf>
    <xf numFmtId="1" fontId="31" fillId="0" borderId="3" xfId="0" applyNumberFormat="1" applyFont="1" applyBorder="1" applyAlignment="1">
      <alignment horizontal="center"/>
    </xf>
    <xf numFmtId="0" fontId="17" fillId="0" borderId="3" xfId="0" applyFont="1" applyBorder="1" applyAlignment="1">
      <alignment horizontal="center" wrapText="1"/>
    </xf>
    <xf numFmtId="0" fontId="36" fillId="17" borderId="0" xfId="0" applyFont="1" applyFill="1" applyAlignment="1">
      <alignment horizontal="left" vertical="center" wrapText="1"/>
    </xf>
    <xf numFmtId="0" fontId="31" fillId="0" borderId="3" xfId="0" applyFont="1" applyBorder="1" applyAlignment="1">
      <alignment horizontal="center" wrapText="1"/>
    </xf>
    <xf numFmtId="0" fontId="32" fillId="0" borderId="3" xfId="0" applyFont="1" applyBorder="1" applyAlignment="1">
      <alignment horizontal="center" vertical="center" wrapText="1"/>
    </xf>
    <xf numFmtId="0" fontId="32" fillId="0" borderId="3" xfId="0" applyFont="1" applyBorder="1" applyAlignment="1">
      <alignment horizontal="center" vertical="center"/>
    </xf>
    <xf numFmtId="0" fontId="36" fillId="14" borderId="0" xfId="0" applyFont="1" applyFill="1" applyAlignment="1">
      <alignment horizontal="left" vertical="center" wrapText="1"/>
    </xf>
    <xf numFmtId="0" fontId="33" fillId="10" borderId="6" xfId="0" applyFont="1" applyFill="1" applyBorder="1" applyAlignment="1">
      <alignment horizontal="center" vertical="center" wrapText="1"/>
    </xf>
    <xf numFmtId="0" fontId="33" fillId="10" borderId="4" xfId="0" applyFont="1" applyFill="1" applyBorder="1" applyAlignment="1">
      <alignment horizontal="center" vertical="center" wrapText="1"/>
    </xf>
    <xf numFmtId="0" fontId="13" fillId="18" borderId="0" xfId="0" applyFont="1" applyFill="1" applyAlignment="1">
      <alignment horizontal="left" wrapText="1"/>
    </xf>
    <xf numFmtId="0" fontId="35" fillId="0" borderId="0" xfId="5" applyFont="1" applyAlignment="1">
      <alignment vertical="top"/>
    </xf>
    <xf numFmtId="8" fontId="31" fillId="0" borderId="3" xfId="0" applyNumberFormat="1" applyFont="1" applyBorder="1" applyAlignment="1">
      <alignment horizontal="left" vertical="top" wrapText="1"/>
    </xf>
    <xf numFmtId="0" fontId="39" fillId="0" borderId="18" xfId="0" applyFont="1" applyBorder="1" applyAlignment="1">
      <alignment horizontal="center" wrapText="1"/>
    </xf>
    <xf numFmtId="0" fontId="25" fillId="0" borderId="23" xfId="0" applyFont="1" applyBorder="1" applyAlignment="1">
      <alignment horizontal="left" wrapText="1"/>
    </xf>
    <xf numFmtId="0" fontId="25" fillId="0" borderId="29" xfId="0" applyFont="1" applyBorder="1" applyAlignment="1">
      <alignment horizontal="left" wrapText="1"/>
    </xf>
    <xf numFmtId="0" fontId="25" fillId="0" borderId="30" xfId="0" applyFont="1" applyBorder="1" applyAlignment="1">
      <alignment horizontal="left" wrapText="1"/>
    </xf>
    <xf numFmtId="0" fontId="51" fillId="0" borderId="0" xfId="0" applyFont="1" applyAlignment="1">
      <alignment horizontal="center" wrapText="1"/>
    </xf>
    <xf numFmtId="0" fontId="51" fillId="0" borderId="0" xfId="0" applyFont="1" applyAlignment="1">
      <alignment horizontal="center"/>
    </xf>
    <xf numFmtId="0" fontId="52" fillId="0" borderId="2" xfId="3" applyFont="1" applyBorder="1" applyAlignment="1">
      <alignment vertical="center"/>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0" xfId="0" applyFont="1" applyAlignment="1">
      <alignment horizontal="left" wrapText="1" indent="2"/>
    </xf>
    <xf numFmtId="0" fontId="10" fillId="0" borderId="0" xfId="0" applyFont="1" applyAlignment="1">
      <alignment horizontal="left" vertical="top" wrapText="1" indent="2"/>
    </xf>
  </cellXfs>
  <cellStyles count="6">
    <cellStyle name="Comma" xfId="1" builtinId="3"/>
    <cellStyle name="Currency" xfId="2" builtinId="4"/>
    <cellStyle name="Hyperlink" xfId="3" builtinId="8"/>
    <cellStyle name="Normal" xfId="0" builtinId="0"/>
    <cellStyle name="Normal 2" xfId="5" xr:uid="{00000000-0005-0000-0000-000004000000}"/>
    <cellStyle name="Percent" xfId="4" builtinId="5"/>
  </cellStyles>
  <dxfs count="14">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3333FF"/>
      <color rgb="FFFFFFCC"/>
      <color rgb="FFFFFF66"/>
      <color rgb="FFCC00FF"/>
      <color rgb="FF66FF33"/>
      <color rgb="FF00FFFF"/>
      <color rgb="FFFF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Cash flow with fixed costs not allocated</a:t>
            </a:r>
          </a:p>
        </c:rich>
      </c:tx>
      <c:layout>
        <c:manualLayout>
          <c:xMode val="edge"/>
          <c:yMode val="edge"/>
          <c:x val="0.32718442309136497"/>
          <c:y val="2.5764774788353501E-2"/>
        </c:manualLayout>
      </c:layout>
      <c:overlay val="1"/>
      <c:spPr>
        <a:solidFill>
          <a:schemeClr val="bg1"/>
        </a:solidFill>
        <a:ln>
          <a:solidFill>
            <a:schemeClr val="tx1"/>
          </a:solidFill>
        </a:ln>
      </c:spPr>
    </c:title>
    <c:autoTitleDeleted val="0"/>
    <c:plotArea>
      <c:layout>
        <c:manualLayout>
          <c:layoutTarget val="inner"/>
          <c:xMode val="edge"/>
          <c:yMode val="edge"/>
          <c:x val="0.23624383474115701"/>
          <c:y val="0.171046988028935"/>
          <c:w val="0.75232099874840597"/>
          <c:h val="0.78382081812944104"/>
        </c:manualLayout>
      </c:layout>
      <c:barChart>
        <c:barDir val="col"/>
        <c:grouping val="clustered"/>
        <c:varyColors val="0"/>
        <c:ser>
          <c:idx val="2"/>
          <c:order val="0"/>
          <c:tx>
            <c:strRef>
              <c:f>Budget!$A$29</c:f>
              <c:strCache>
                <c:ptCount val="1"/>
                <c:pt idx="0">
                  <c:v>Revenue</c:v>
                </c:pt>
              </c:strCache>
            </c:strRef>
          </c:tx>
          <c:invertIfNegative val="0"/>
          <c:cat>
            <c:numRef>
              <c:f>Budget!$B$5:$V$5</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Budget!$B$29:$V$29</c:f>
              <c:numCache>
                <c:formatCode>_("$"* #,##0_);_("$"* \(#,##0\);_("$"* "-"??_);_(@_)</c:formatCode>
                <c:ptCount val="21"/>
                <c:pt idx="0">
                  <c:v>0</c:v>
                </c:pt>
                <c:pt idx="1">
                  <c:v>0</c:v>
                </c:pt>
                <c:pt idx="2">
                  <c:v>0</c:v>
                </c:pt>
                <c:pt idx="3">
                  <c:v>45000.000000000007</c:v>
                </c:pt>
                <c:pt idx="4">
                  <c:v>135000</c:v>
                </c:pt>
                <c:pt idx="5">
                  <c:v>225000</c:v>
                </c:pt>
                <c:pt idx="6">
                  <c:v>225000</c:v>
                </c:pt>
                <c:pt idx="7">
                  <c:v>225000</c:v>
                </c:pt>
                <c:pt idx="8">
                  <c:v>225000</c:v>
                </c:pt>
                <c:pt idx="9">
                  <c:v>225000</c:v>
                </c:pt>
                <c:pt idx="10">
                  <c:v>225000</c:v>
                </c:pt>
                <c:pt idx="11">
                  <c:v>225000</c:v>
                </c:pt>
                <c:pt idx="12">
                  <c:v>225000</c:v>
                </c:pt>
                <c:pt idx="13">
                  <c:v>225000</c:v>
                </c:pt>
                <c:pt idx="14">
                  <c:v>225000</c:v>
                </c:pt>
                <c:pt idx="15">
                  <c:v>225000</c:v>
                </c:pt>
                <c:pt idx="16">
                  <c:v>225000</c:v>
                </c:pt>
                <c:pt idx="17">
                  <c:v>225000</c:v>
                </c:pt>
                <c:pt idx="18">
                  <c:v>225000</c:v>
                </c:pt>
                <c:pt idx="19">
                  <c:v>225000</c:v>
                </c:pt>
                <c:pt idx="20">
                  <c:v>225000</c:v>
                </c:pt>
              </c:numCache>
            </c:numRef>
          </c:val>
          <c:extLst>
            <c:ext xmlns:c16="http://schemas.microsoft.com/office/drawing/2014/chart" uri="{C3380CC4-5D6E-409C-BE32-E72D297353CC}">
              <c16:uniqueId val="{00000001-F37F-4C94-93E6-ADD61BB77ADB}"/>
            </c:ext>
          </c:extLst>
        </c:ser>
        <c:ser>
          <c:idx val="0"/>
          <c:order val="1"/>
          <c:tx>
            <c:strRef>
              <c:f>Budget!$A$12</c:f>
              <c:strCache>
                <c:ptCount val="1"/>
                <c:pt idx="0">
                  <c:v>Capital assets (not allocated)</c:v>
                </c:pt>
              </c:strCache>
            </c:strRef>
          </c:tx>
          <c:invertIfNegative val="0"/>
          <c:val>
            <c:numRef>
              <c:f>Budget!$B$12:$V$12</c:f>
              <c:numCache>
                <c:formatCode>_("$"* #,##0_);_("$"* \(#,##0\);_("$"* "-"??_);_(@_)</c:formatCode>
                <c:ptCount val="21"/>
                <c:pt idx="0">
                  <c:v>0</c:v>
                </c:pt>
                <c:pt idx="1">
                  <c:v>614469.19999999995</c:v>
                </c:pt>
              </c:numCache>
            </c:numRef>
          </c:val>
          <c:extLst>
            <c:ext xmlns:c16="http://schemas.microsoft.com/office/drawing/2014/chart" uri="{C3380CC4-5D6E-409C-BE32-E72D297353CC}">
              <c16:uniqueId val="{00000000-929C-46DA-93B7-277003F5EAEF}"/>
            </c:ext>
          </c:extLst>
        </c:ser>
        <c:ser>
          <c:idx val="1"/>
          <c:order val="2"/>
          <c:tx>
            <c:strRef>
              <c:f>Budget!$A$14</c:f>
              <c:strCache>
                <c:ptCount val="1"/>
                <c:pt idx="0">
                  <c:v>Annual costs</c:v>
                </c:pt>
              </c:strCache>
            </c:strRef>
          </c:tx>
          <c:invertIfNegative val="0"/>
          <c:val>
            <c:numRef>
              <c:f>Budget!$B$14:$V$14</c:f>
              <c:numCache>
                <c:formatCode>_("$"* #,##0_);_("$"* \(#,##0\);_("$"* "-"??_);_(@_)</c:formatCode>
                <c:ptCount val="21"/>
                <c:pt idx="0">
                  <c:v>20250</c:v>
                </c:pt>
                <c:pt idx="1">
                  <c:v>75750</c:v>
                </c:pt>
                <c:pt idx="2">
                  <c:v>113625</c:v>
                </c:pt>
                <c:pt idx="3">
                  <c:v>151500</c:v>
                </c:pt>
                <c:pt idx="4">
                  <c:v>151500</c:v>
                </c:pt>
                <c:pt idx="5">
                  <c:v>151500</c:v>
                </c:pt>
                <c:pt idx="6">
                  <c:v>151500</c:v>
                </c:pt>
                <c:pt idx="7">
                  <c:v>151500</c:v>
                </c:pt>
                <c:pt idx="8">
                  <c:v>151500</c:v>
                </c:pt>
                <c:pt idx="9">
                  <c:v>151500</c:v>
                </c:pt>
                <c:pt idx="10">
                  <c:v>151500</c:v>
                </c:pt>
                <c:pt idx="11">
                  <c:v>151500</c:v>
                </c:pt>
                <c:pt idx="12">
                  <c:v>151500</c:v>
                </c:pt>
                <c:pt idx="13">
                  <c:v>151500</c:v>
                </c:pt>
                <c:pt idx="14">
                  <c:v>151500</c:v>
                </c:pt>
                <c:pt idx="15">
                  <c:v>151500</c:v>
                </c:pt>
                <c:pt idx="16">
                  <c:v>151500</c:v>
                </c:pt>
                <c:pt idx="17">
                  <c:v>151500</c:v>
                </c:pt>
                <c:pt idx="18">
                  <c:v>151500</c:v>
                </c:pt>
                <c:pt idx="19">
                  <c:v>151500</c:v>
                </c:pt>
                <c:pt idx="20">
                  <c:v>151500</c:v>
                </c:pt>
              </c:numCache>
            </c:numRef>
          </c:val>
          <c:extLst>
            <c:ext xmlns:c16="http://schemas.microsoft.com/office/drawing/2014/chart" uri="{C3380CC4-5D6E-409C-BE32-E72D297353CC}">
              <c16:uniqueId val="{00000001-929C-46DA-93B7-277003F5EAEF}"/>
            </c:ext>
          </c:extLst>
        </c:ser>
        <c:dLbls>
          <c:showLegendKey val="0"/>
          <c:showVal val="0"/>
          <c:showCatName val="0"/>
          <c:showSerName val="0"/>
          <c:showPercent val="0"/>
          <c:showBubbleSize val="0"/>
        </c:dLbls>
        <c:gapWidth val="150"/>
        <c:axId val="-2090663336"/>
        <c:axId val="-2089979752"/>
      </c:barChart>
      <c:catAx>
        <c:axId val="-2090663336"/>
        <c:scaling>
          <c:orientation val="minMax"/>
        </c:scaling>
        <c:delete val="0"/>
        <c:axPos val="b"/>
        <c:numFmt formatCode="General" sourceLinked="1"/>
        <c:majorTickMark val="out"/>
        <c:minorTickMark val="none"/>
        <c:tickLblPos val="nextTo"/>
        <c:crossAx val="-2089979752"/>
        <c:crossesAt val="0"/>
        <c:auto val="1"/>
        <c:lblAlgn val="ctr"/>
        <c:lblOffset val="100"/>
        <c:noMultiLvlLbl val="0"/>
      </c:catAx>
      <c:valAx>
        <c:axId val="-2089979752"/>
        <c:scaling>
          <c:orientation val="minMax"/>
        </c:scaling>
        <c:delete val="0"/>
        <c:axPos val="l"/>
        <c:majorGridlines/>
        <c:title>
          <c:tx>
            <c:rich>
              <a:bodyPr rot="-5400000" vert="horz"/>
              <a:lstStyle/>
              <a:p>
                <a:pPr>
                  <a:defRPr/>
                </a:pPr>
                <a:r>
                  <a:rPr lang="en-US"/>
                  <a:t>Cash flows (dollars)</a:t>
                </a:r>
              </a:p>
            </c:rich>
          </c:tx>
          <c:layout>
            <c:manualLayout>
              <c:xMode val="edge"/>
              <c:yMode val="edge"/>
              <c:x val="2.6274964590918201E-2"/>
              <c:y val="0.215928081453586"/>
            </c:manualLayout>
          </c:layout>
          <c:overlay val="0"/>
        </c:title>
        <c:numFmt formatCode="_(&quot;$&quot;* #,##0_);_(&quot;$&quot;* \(#,##0\);_(&quot;$&quot;* &quot;0&quot;??_);_(@_)" sourceLinked="0"/>
        <c:majorTickMark val="out"/>
        <c:minorTickMark val="none"/>
        <c:tickLblPos val="nextTo"/>
        <c:crossAx val="-2090663336"/>
        <c:crosses val="autoZero"/>
        <c:crossBetween val="between"/>
      </c:valAx>
    </c:plotArea>
    <c:legend>
      <c:legendPos val="r"/>
      <c:layout>
        <c:manualLayout>
          <c:xMode val="edge"/>
          <c:yMode val="edge"/>
          <c:x val="0.46031465768109497"/>
          <c:y val="0.190728695144991"/>
          <c:w val="0.36046437998426401"/>
          <c:h val="0.34416706607326297"/>
        </c:manualLayout>
      </c:layout>
      <c:overlay val="0"/>
      <c:spPr>
        <a:solidFill>
          <a:schemeClr val="bg1"/>
        </a:solidFill>
        <a:ln>
          <a:solidFill>
            <a:schemeClr val="tx1"/>
          </a:solidFill>
        </a:ln>
      </c:spPr>
    </c:legend>
    <c:plotVisOnly val="1"/>
    <c:dispBlanksAs val="gap"/>
    <c:showDLblsOverMax val="0"/>
  </c:chart>
  <c:txPr>
    <a:bodyPr/>
    <a:lstStyle/>
    <a:p>
      <a:pPr>
        <a:defRPr lang="en-US"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Cash flow with allocated fixed costs </a:t>
            </a:r>
          </a:p>
        </c:rich>
      </c:tx>
      <c:layout>
        <c:manualLayout>
          <c:xMode val="edge"/>
          <c:yMode val="edge"/>
          <c:x val="0.31924108037856103"/>
          <c:y val="1.2959068159568101E-2"/>
        </c:manualLayout>
      </c:layout>
      <c:overlay val="0"/>
      <c:spPr>
        <a:solidFill>
          <a:schemeClr val="bg1"/>
        </a:solidFill>
        <a:ln>
          <a:solidFill>
            <a:schemeClr val="tx1"/>
          </a:solidFill>
        </a:ln>
      </c:spPr>
    </c:title>
    <c:autoTitleDeleted val="0"/>
    <c:plotArea>
      <c:layout>
        <c:manualLayout>
          <c:layoutTarget val="inner"/>
          <c:xMode val="edge"/>
          <c:yMode val="edge"/>
          <c:x val="0.23674047548270699"/>
          <c:y val="0.16572608254643401"/>
          <c:w val="0.75446245064411299"/>
          <c:h val="0.64404327242834503"/>
        </c:manualLayout>
      </c:layout>
      <c:barChart>
        <c:barDir val="col"/>
        <c:grouping val="clustered"/>
        <c:varyColors val="0"/>
        <c:ser>
          <c:idx val="2"/>
          <c:order val="0"/>
          <c:tx>
            <c:strRef>
              <c:f>Budget!$A$20</c:f>
              <c:strCache>
                <c:ptCount val="1"/>
                <c:pt idx="0">
                  <c:v>Revenue</c:v>
                </c:pt>
              </c:strCache>
            </c:strRef>
          </c:tx>
          <c:invertIfNegative val="0"/>
          <c:cat>
            <c:numRef>
              <c:f>Budget!$B$5:$V$5</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Budget!$B$29:$V$29</c:f>
              <c:numCache>
                <c:formatCode>_("$"* #,##0_);_("$"* \(#,##0\);_("$"* "-"??_);_(@_)</c:formatCode>
                <c:ptCount val="21"/>
                <c:pt idx="0">
                  <c:v>0</c:v>
                </c:pt>
                <c:pt idx="1">
                  <c:v>0</c:v>
                </c:pt>
                <c:pt idx="2">
                  <c:v>0</c:v>
                </c:pt>
                <c:pt idx="3">
                  <c:v>45000.000000000007</c:v>
                </c:pt>
                <c:pt idx="4">
                  <c:v>135000</c:v>
                </c:pt>
                <c:pt idx="5">
                  <c:v>225000</c:v>
                </c:pt>
                <c:pt idx="6">
                  <c:v>225000</c:v>
                </c:pt>
                <c:pt idx="7">
                  <c:v>225000</c:v>
                </c:pt>
                <c:pt idx="8">
                  <c:v>225000</c:v>
                </c:pt>
                <c:pt idx="9">
                  <c:v>225000</c:v>
                </c:pt>
                <c:pt idx="10">
                  <c:v>225000</c:v>
                </c:pt>
                <c:pt idx="11">
                  <c:v>225000</c:v>
                </c:pt>
                <c:pt idx="12">
                  <c:v>225000</c:v>
                </c:pt>
                <c:pt idx="13">
                  <c:v>225000</c:v>
                </c:pt>
                <c:pt idx="14">
                  <c:v>225000</c:v>
                </c:pt>
                <c:pt idx="15">
                  <c:v>225000</c:v>
                </c:pt>
                <c:pt idx="16">
                  <c:v>225000</c:v>
                </c:pt>
                <c:pt idx="17">
                  <c:v>225000</c:v>
                </c:pt>
                <c:pt idx="18">
                  <c:v>225000</c:v>
                </c:pt>
                <c:pt idx="19">
                  <c:v>225000</c:v>
                </c:pt>
                <c:pt idx="20">
                  <c:v>225000</c:v>
                </c:pt>
              </c:numCache>
            </c:numRef>
          </c:val>
          <c:extLst>
            <c:ext xmlns:c16="http://schemas.microsoft.com/office/drawing/2014/chart" uri="{C3380CC4-5D6E-409C-BE32-E72D297353CC}">
              <c16:uniqueId val="{00000001-3E30-4FD5-8715-6E34114278D3}"/>
            </c:ext>
          </c:extLst>
        </c:ser>
        <c:ser>
          <c:idx val="0"/>
          <c:order val="1"/>
          <c:tx>
            <c:strRef>
              <c:f>Budget!$A$13</c:f>
              <c:strCache>
                <c:ptCount val="1"/>
                <c:pt idx="0">
                  <c:v>Fixed costs</c:v>
                </c:pt>
              </c:strCache>
            </c:strRef>
          </c:tx>
          <c:invertIfNegative val="0"/>
          <c:val>
            <c:numRef>
              <c:f>Budget!$B$13:$V$13</c:f>
              <c:numCache>
                <c:formatCode>_("$"* #,##0_);_("$"* \(#,##0\);_("$"* "-"??_);_(@_)</c:formatCode>
                <c:ptCount val="21"/>
                <c:pt idx="0">
                  <c:v>0</c:v>
                </c:pt>
                <c:pt idx="1">
                  <c:v>32061.210484809308</c:v>
                </c:pt>
                <c:pt idx="2">
                  <c:v>32061.210484809308</c:v>
                </c:pt>
                <c:pt idx="3">
                  <c:v>32061.210484809308</c:v>
                </c:pt>
                <c:pt idx="4">
                  <c:v>32061.210484809308</c:v>
                </c:pt>
                <c:pt idx="5">
                  <c:v>32061.210484809308</c:v>
                </c:pt>
                <c:pt idx="6">
                  <c:v>32061.210484809308</c:v>
                </c:pt>
                <c:pt idx="7">
                  <c:v>32061.210484809308</c:v>
                </c:pt>
                <c:pt idx="8">
                  <c:v>32061.210484809308</c:v>
                </c:pt>
                <c:pt idx="9">
                  <c:v>32061.210484809308</c:v>
                </c:pt>
                <c:pt idx="10">
                  <c:v>32061.210484809308</c:v>
                </c:pt>
                <c:pt idx="11">
                  <c:v>32061.210484809308</c:v>
                </c:pt>
                <c:pt idx="12">
                  <c:v>32061.210484809308</c:v>
                </c:pt>
                <c:pt idx="13">
                  <c:v>32061.210484809308</c:v>
                </c:pt>
                <c:pt idx="14">
                  <c:v>32061.210484809308</c:v>
                </c:pt>
                <c:pt idx="15">
                  <c:v>32061.210484809308</c:v>
                </c:pt>
                <c:pt idx="16">
                  <c:v>32061.210484809308</c:v>
                </c:pt>
                <c:pt idx="17">
                  <c:v>32061.210484809308</c:v>
                </c:pt>
                <c:pt idx="18">
                  <c:v>32061.210484809308</c:v>
                </c:pt>
                <c:pt idx="19">
                  <c:v>32061.210484809308</c:v>
                </c:pt>
                <c:pt idx="20">
                  <c:v>32061.210484809308</c:v>
                </c:pt>
              </c:numCache>
            </c:numRef>
          </c:val>
          <c:extLst>
            <c:ext xmlns:c16="http://schemas.microsoft.com/office/drawing/2014/chart" uri="{C3380CC4-5D6E-409C-BE32-E72D297353CC}">
              <c16:uniqueId val="{00000000-EB58-4913-B9B1-794BA85895C4}"/>
            </c:ext>
          </c:extLst>
        </c:ser>
        <c:ser>
          <c:idx val="1"/>
          <c:order val="2"/>
          <c:tx>
            <c:strRef>
              <c:f>Budget!$A$14</c:f>
              <c:strCache>
                <c:ptCount val="1"/>
                <c:pt idx="0">
                  <c:v>Annual costs</c:v>
                </c:pt>
              </c:strCache>
            </c:strRef>
          </c:tx>
          <c:invertIfNegative val="0"/>
          <c:val>
            <c:numRef>
              <c:f>Budget!$B$14:$V$14</c:f>
              <c:numCache>
                <c:formatCode>_("$"* #,##0_);_("$"* \(#,##0\);_("$"* "-"??_);_(@_)</c:formatCode>
                <c:ptCount val="21"/>
                <c:pt idx="0">
                  <c:v>20250</c:v>
                </c:pt>
                <c:pt idx="1">
                  <c:v>75750</c:v>
                </c:pt>
                <c:pt idx="2">
                  <c:v>113625</c:v>
                </c:pt>
                <c:pt idx="3">
                  <c:v>151500</c:v>
                </c:pt>
                <c:pt idx="4">
                  <c:v>151500</c:v>
                </c:pt>
                <c:pt idx="5">
                  <c:v>151500</c:v>
                </c:pt>
                <c:pt idx="6">
                  <c:v>151500</c:v>
                </c:pt>
                <c:pt idx="7">
                  <c:v>151500</c:v>
                </c:pt>
                <c:pt idx="8">
                  <c:v>151500</c:v>
                </c:pt>
                <c:pt idx="9">
                  <c:v>151500</c:v>
                </c:pt>
                <c:pt idx="10">
                  <c:v>151500</c:v>
                </c:pt>
                <c:pt idx="11">
                  <c:v>151500</c:v>
                </c:pt>
                <c:pt idx="12">
                  <c:v>151500</c:v>
                </c:pt>
                <c:pt idx="13">
                  <c:v>151500</c:v>
                </c:pt>
                <c:pt idx="14">
                  <c:v>151500</c:v>
                </c:pt>
                <c:pt idx="15">
                  <c:v>151500</c:v>
                </c:pt>
                <c:pt idx="16">
                  <c:v>151500</c:v>
                </c:pt>
                <c:pt idx="17">
                  <c:v>151500</c:v>
                </c:pt>
                <c:pt idx="18">
                  <c:v>151500</c:v>
                </c:pt>
                <c:pt idx="19">
                  <c:v>151500</c:v>
                </c:pt>
                <c:pt idx="20">
                  <c:v>151500</c:v>
                </c:pt>
              </c:numCache>
            </c:numRef>
          </c:val>
          <c:extLst>
            <c:ext xmlns:c16="http://schemas.microsoft.com/office/drawing/2014/chart" uri="{C3380CC4-5D6E-409C-BE32-E72D297353CC}">
              <c16:uniqueId val="{00000001-EB58-4913-B9B1-794BA85895C4}"/>
            </c:ext>
          </c:extLst>
        </c:ser>
        <c:dLbls>
          <c:showLegendKey val="0"/>
          <c:showVal val="0"/>
          <c:showCatName val="0"/>
          <c:showSerName val="0"/>
          <c:showPercent val="0"/>
          <c:showBubbleSize val="0"/>
        </c:dLbls>
        <c:gapWidth val="150"/>
        <c:axId val="-2090548232"/>
        <c:axId val="-2090419848"/>
      </c:barChart>
      <c:catAx>
        <c:axId val="-2090548232"/>
        <c:scaling>
          <c:orientation val="minMax"/>
        </c:scaling>
        <c:delete val="0"/>
        <c:axPos val="b"/>
        <c:title>
          <c:tx>
            <c:rich>
              <a:bodyPr/>
              <a:lstStyle/>
              <a:p>
                <a:pPr>
                  <a:defRPr/>
                </a:pPr>
                <a:r>
                  <a:rPr lang="en-US"/>
                  <a:t>Years</a:t>
                </a:r>
              </a:p>
            </c:rich>
          </c:tx>
          <c:overlay val="0"/>
        </c:title>
        <c:numFmt formatCode="General" sourceLinked="1"/>
        <c:majorTickMark val="out"/>
        <c:minorTickMark val="none"/>
        <c:tickLblPos val="nextTo"/>
        <c:crossAx val="-2090419848"/>
        <c:crosses val="autoZero"/>
        <c:auto val="1"/>
        <c:lblAlgn val="ctr"/>
        <c:lblOffset val="100"/>
        <c:noMultiLvlLbl val="0"/>
      </c:catAx>
      <c:valAx>
        <c:axId val="-2090419848"/>
        <c:scaling>
          <c:orientation val="minMax"/>
        </c:scaling>
        <c:delete val="0"/>
        <c:axPos val="l"/>
        <c:majorGridlines/>
        <c:title>
          <c:tx>
            <c:rich>
              <a:bodyPr rot="-5400000" vert="horz"/>
              <a:lstStyle/>
              <a:p>
                <a:pPr>
                  <a:defRPr/>
                </a:pPr>
                <a:r>
                  <a:rPr lang="en-US"/>
                  <a:t>Cash flows (dollars) </a:t>
                </a:r>
              </a:p>
            </c:rich>
          </c:tx>
          <c:layout>
            <c:manualLayout>
              <c:xMode val="edge"/>
              <c:yMode val="edge"/>
              <c:x val="3.1817856714840803E-2"/>
              <c:y val="0.18409835727683099"/>
            </c:manualLayout>
          </c:layout>
          <c:overlay val="0"/>
        </c:title>
        <c:numFmt formatCode="_(&quot;$&quot;* #,##0_);_(&quot;$&quot;* \(#,##0\);_(&quot;$&quot;* &quot;0&quot;??_);_(@_)" sourceLinked="0"/>
        <c:majorTickMark val="out"/>
        <c:minorTickMark val="none"/>
        <c:tickLblPos val="nextTo"/>
        <c:crossAx val="-2090548232"/>
        <c:crosses val="autoZero"/>
        <c:crossBetween val="between"/>
      </c:valAx>
    </c:plotArea>
    <c:legend>
      <c:legendPos val="r"/>
      <c:layout>
        <c:manualLayout>
          <c:xMode val="edge"/>
          <c:yMode val="edge"/>
          <c:x val="0.78145831464318505"/>
          <c:y val="4.0291697837618098E-3"/>
          <c:w val="0.21672761712512001"/>
          <c:h val="0.20880514935632999"/>
        </c:manualLayout>
      </c:layout>
      <c:overlay val="0"/>
      <c:spPr>
        <a:solidFill>
          <a:schemeClr val="bg1"/>
        </a:solidFill>
        <a:ln>
          <a:solidFill>
            <a:schemeClr val="tx1"/>
          </a:solidFill>
        </a:ln>
      </c:spPr>
    </c:legend>
    <c:plotVisOnly val="1"/>
    <c:dispBlanksAs val="gap"/>
    <c:showDLblsOverMax val="0"/>
  </c:chart>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0.217219114017354"/>
          <c:y val="0.24197498380829"/>
          <c:w val="0.73171542081815999"/>
          <c:h val="0.62063975399767701"/>
        </c:manualLayout>
      </c:layout>
      <c:lineChart>
        <c:grouping val="standard"/>
        <c:varyColors val="0"/>
        <c:ser>
          <c:idx val="0"/>
          <c:order val="0"/>
          <c:tx>
            <c:strRef>
              <c:f>Budget!$A$31</c:f>
              <c:strCache>
                <c:ptCount val="1"/>
                <c:pt idx="0">
                  <c:v>Net cumulative cash flow (without fixed costs allocated)</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Budget!$B$4:$V$5</c:f>
              <c:strCach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strCache>
            </c:strRef>
          </c:cat>
          <c:val>
            <c:numRef>
              <c:f>Budget!$B$31:$V$31</c:f>
              <c:numCache>
                <c:formatCode>_("$"* #,##0_);_("$"* \(#,##0\);_("$"* "-"??_);_(@_)</c:formatCode>
                <c:ptCount val="21"/>
                <c:pt idx="0">
                  <c:v>-20250</c:v>
                </c:pt>
                <c:pt idx="1">
                  <c:v>-710469.2</c:v>
                </c:pt>
                <c:pt idx="2">
                  <c:v>-824094.2</c:v>
                </c:pt>
                <c:pt idx="3">
                  <c:v>-930594.2</c:v>
                </c:pt>
                <c:pt idx="4">
                  <c:v>-947094.2</c:v>
                </c:pt>
                <c:pt idx="5">
                  <c:v>-873594.2</c:v>
                </c:pt>
                <c:pt idx="6">
                  <c:v>-800094.2</c:v>
                </c:pt>
                <c:pt idx="7">
                  <c:v>-726594.2</c:v>
                </c:pt>
                <c:pt idx="8">
                  <c:v>-653094.19999999995</c:v>
                </c:pt>
                <c:pt idx="9">
                  <c:v>-579594.19999999995</c:v>
                </c:pt>
                <c:pt idx="10">
                  <c:v>-506094.19999999995</c:v>
                </c:pt>
                <c:pt idx="11">
                  <c:v>-432594.20000000019</c:v>
                </c:pt>
                <c:pt idx="12">
                  <c:v>-359094.20000000019</c:v>
                </c:pt>
                <c:pt idx="13">
                  <c:v>-285594.20000000019</c:v>
                </c:pt>
                <c:pt idx="14">
                  <c:v>-212094.20000000019</c:v>
                </c:pt>
                <c:pt idx="15">
                  <c:v>-138594.20000000019</c:v>
                </c:pt>
                <c:pt idx="16">
                  <c:v>-65094.200000000186</c:v>
                </c:pt>
                <c:pt idx="17">
                  <c:v>8405.7999999998137</c:v>
                </c:pt>
                <c:pt idx="18">
                  <c:v>81905.799999999814</c:v>
                </c:pt>
                <c:pt idx="19">
                  <c:v>155405.79999999981</c:v>
                </c:pt>
                <c:pt idx="20">
                  <c:v>228905.79999999981</c:v>
                </c:pt>
              </c:numCache>
            </c:numRef>
          </c:val>
          <c:smooth val="0"/>
          <c:extLst>
            <c:ext xmlns:c16="http://schemas.microsoft.com/office/drawing/2014/chart" uri="{C3380CC4-5D6E-409C-BE32-E72D297353CC}">
              <c16:uniqueId val="{00000000-6FDD-4B74-B208-86AF431BDC36}"/>
            </c:ext>
          </c:extLst>
        </c:ser>
        <c:dLbls>
          <c:showLegendKey val="0"/>
          <c:showVal val="0"/>
          <c:showCatName val="0"/>
          <c:showSerName val="0"/>
          <c:showPercent val="0"/>
          <c:showBubbleSize val="0"/>
        </c:dLbls>
        <c:marker val="1"/>
        <c:smooth val="0"/>
        <c:axId val="-2090096616"/>
        <c:axId val="-2090003752"/>
      </c:lineChart>
      <c:catAx>
        <c:axId val="-20900966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a:t>Years</a:t>
                </a:r>
              </a:p>
            </c:rich>
          </c:tx>
          <c:layout>
            <c:manualLayout>
              <c:xMode val="edge"/>
              <c:yMode val="edge"/>
              <c:x val="0.54525765934845405"/>
              <c:y val="0.9335232602286940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2090003752"/>
        <c:crosses val="autoZero"/>
        <c:auto val="1"/>
        <c:lblAlgn val="ctr"/>
        <c:lblOffset val="100"/>
        <c:noMultiLvlLbl val="0"/>
      </c:catAx>
      <c:valAx>
        <c:axId val="-20900037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a:t>Cumulative cash fow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_(&quot;$&quot;* #,##0_);_(&quot;$&quot;* \(#,##0\);_(&quot;$&quot;* &quot;0&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20900966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Vineyard equipment life, estimated </a:t>
            </a:r>
          </a:p>
        </c:rich>
      </c:tx>
      <c:layout>
        <c:manualLayout>
          <c:xMode val="edge"/>
          <c:yMode val="edge"/>
          <c:x val="0.167625931397163"/>
          <c:y val="4.333709495850260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3392069983294"/>
          <c:y val="0.19897146223291501"/>
          <c:w val="0.74506033425649498"/>
          <c:h val="0.53834995254282203"/>
        </c:manualLayout>
      </c:layout>
      <c:barChart>
        <c:barDir val="bar"/>
        <c:grouping val="clustered"/>
        <c:varyColors val="0"/>
        <c:ser>
          <c:idx val="0"/>
          <c:order val="0"/>
          <c:tx>
            <c:strRef>
              <c:f>'Equipment '!$E$67</c:f>
              <c:strCache>
                <c:ptCount val="1"/>
                <c:pt idx="0">
                  <c:v>Tractor*</c:v>
                </c:pt>
              </c:strCache>
            </c:strRef>
          </c:tx>
          <c:spPr>
            <a:solidFill>
              <a:schemeClr val="accent1"/>
            </a:solidFill>
            <a:ln>
              <a:noFill/>
            </a:ln>
            <a:effectLst/>
          </c:spPr>
          <c:invertIfNegative val="0"/>
          <c:dLbls>
            <c:delete val="1"/>
          </c:dLbls>
          <c:cat>
            <c:numRef>
              <c:extLst>
                <c:ext xmlns:c15="http://schemas.microsoft.com/office/drawing/2012/chart" uri="{02D57815-91ED-43cb-92C2-25804820EDAC}">
                  <c15:fullRef>
                    <c15:sqref>Budget!$B$5:$V$5</c15:sqref>
                  </c15:fullRef>
                </c:ext>
              </c:extLst>
              <c:f>(Budget!$B$5:$C$5,Budget!$E$5:$V$5)</c:f>
              <c:numCache>
                <c:formatCode>General</c:formatCode>
                <c:ptCount val="20"/>
                <c:pt idx="0">
                  <c:v>0</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extLst>
                <c:ext xmlns:c15="http://schemas.microsoft.com/office/drawing/2012/chart" uri="{02D57815-91ED-43cb-92C2-25804820EDAC}">
                  <c15:fullRef>
                    <c15:sqref>'Equipment '!$F$67:$H$67</c15:sqref>
                  </c15:fullRef>
                </c:ext>
              </c:extLst>
              <c:f>'Equipment '!$F$67:$G$67</c:f>
              <c:numCache>
                <c:formatCode>0</c:formatCode>
                <c:ptCount val="1"/>
                <c:pt idx="0">
                  <c:v>28</c:v>
                </c:pt>
              </c:numCache>
            </c:numRef>
          </c:val>
          <c:extLst>
            <c:ext xmlns:c16="http://schemas.microsoft.com/office/drawing/2014/chart" uri="{C3380CC4-5D6E-409C-BE32-E72D297353CC}">
              <c16:uniqueId val="{00000000-3CD9-4348-86BB-566039A2CEF5}"/>
            </c:ext>
          </c:extLst>
        </c:ser>
        <c:ser>
          <c:idx val="1"/>
          <c:order val="1"/>
          <c:tx>
            <c:strRef>
              <c:f>'Equipment '!$E$68</c:f>
              <c:strCache>
                <c:ptCount val="1"/>
                <c:pt idx="0">
                  <c:v>Canopy sprayer*</c:v>
                </c:pt>
              </c:strCache>
            </c:strRef>
          </c:tx>
          <c:spPr>
            <a:solidFill>
              <a:schemeClr val="accent2"/>
            </a:solidFill>
            <a:ln>
              <a:noFill/>
            </a:ln>
            <a:effectLst/>
          </c:spPr>
          <c:invertIfNegative val="0"/>
          <c:dLbls>
            <c:delete val="1"/>
          </c:dLbls>
          <c:cat>
            <c:numRef>
              <c:extLst>
                <c:ext xmlns:c15="http://schemas.microsoft.com/office/drawing/2012/chart" uri="{02D57815-91ED-43cb-92C2-25804820EDAC}">
                  <c15:fullRef>
                    <c15:sqref>Budget!$B$5:$V$5</c15:sqref>
                  </c15:fullRef>
                </c:ext>
              </c:extLst>
              <c:f>(Budget!$B$5:$C$5,Budget!$E$5:$V$5)</c:f>
              <c:numCache>
                <c:formatCode>General</c:formatCode>
                <c:ptCount val="20"/>
                <c:pt idx="0">
                  <c:v>0</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extLst>
                <c:ext xmlns:c15="http://schemas.microsoft.com/office/drawing/2012/chart" uri="{02D57815-91ED-43cb-92C2-25804820EDAC}">
                  <c15:fullRef>
                    <c15:sqref>'Equipment '!$F$68:$H$68</c15:sqref>
                  </c15:fullRef>
                </c:ext>
              </c:extLst>
              <c:f>'Equipment '!$F$68:$G$68</c:f>
              <c:numCache>
                <c:formatCode>0</c:formatCode>
                <c:ptCount val="1"/>
                <c:pt idx="0">
                  <c:v>6</c:v>
                </c:pt>
              </c:numCache>
            </c:numRef>
          </c:val>
          <c:extLst>
            <c:ext xmlns:c16="http://schemas.microsoft.com/office/drawing/2014/chart" uri="{C3380CC4-5D6E-409C-BE32-E72D297353CC}">
              <c16:uniqueId val="{00000001-3CD9-4348-86BB-566039A2CEF5}"/>
            </c:ext>
          </c:extLst>
        </c:ser>
        <c:ser>
          <c:idx val="2"/>
          <c:order val="2"/>
          <c:tx>
            <c:strRef>
              <c:f>'Equipment '!$E$69</c:f>
              <c:strCache>
                <c:ptCount val="1"/>
                <c:pt idx="0">
                  <c:v>Mower</c:v>
                </c:pt>
              </c:strCache>
            </c:strRef>
          </c:tx>
          <c:spPr>
            <a:solidFill>
              <a:schemeClr val="accent3"/>
            </a:solidFill>
            <a:ln>
              <a:noFill/>
            </a:ln>
            <a:effectLst/>
          </c:spPr>
          <c:invertIfNegative val="0"/>
          <c:dLbls>
            <c:delete val="1"/>
          </c:dLbls>
          <c:cat>
            <c:numRef>
              <c:extLst>
                <c:ext xmlns:c15="http://schemas.microsoft.com/office/drawing/2012/chart" uri="{02D57815-91ED-43cb-92C2-25804820EDAC}">
                  <c15:fullRef>
                    <c15:sqref>Budget!$B$5:$V$5</c15:sqref>
                  </c15:fullRef>
                </c:ext>
              </c:extLst>
              <c:f>(Budget!$B$5:$C$5,Budget!$E$5:$V$5)</c:f>
              <c:numCache>
                <c:formatCode>General</c:formatCode>
                <c:ptCount val="20"/>
                <c:pt idx="0">
                  <c:v>0</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extLst>
                <c:ext xmlns:c15="http://schemas.microsoft.com/office/drawing/2012/chart" uri="{02D57815-91ED-43cb-92C2-25804820EDAC}">
                  <c15:fullRef>
                    <c15:sqref>'Equipment '!$F$69:$H$69</c15:sqref>
                  </c15:fullRef>
                </c:ext>
              </c:extLst>
              <c:f>'Equipment '!$F$69:$G$69</c:f>
              <c:numCache>
                <c:formatCode>0</c:formatCode>
                <c:ptCount val="1"/>
                <c:pt idx="0">
                  <c:v>13</c:v>
                </c:pt>
              </c:numCache>
            </c:numRef>
          </c:val>
          <c:extLst>
            <c:ext xmlns:c16="http://schemas.microsoft.com/office/drawing/2014/chart" uri="{C3380CC4-5D6E-409C-BE32-E72D297353CC}">
              <c16:uniqueId val="{00000002-3CD9-4348-86BB-566039A2CEF5}"/>
            </c:ext>
          </c:extLst>
        </c:ser>
        <c:ser>
          <c:idx val="3"/>
          <c:order val="3"/>
          <c:tx>
            <c:strRef>
              <c:f>'Equipment '!$E$70</c:f>
              <c:strCache>
                <c:ptCount val="1"/>
                <c:pt idx="0">
                  <c:v>Herbicide sprayer</c:v>
                </c:pt>
              </c:strCache>
            </c:strRef>
          </c:tx>
          <c:spPr>
            <a:solidFill>
              <a:schemeClr val="accent4"/>
            </a:solidFill>
            <a:ln>
              <a:noFill/>
            </a:ln>
            <a:effectLst/>
          </c:spPr>
          <c:invertIfNegative val="0"/>
          <c:dLbls>
            <c:delete val="1"/>
          </c:dLbls>
          <c:cat>
            <c:numRef>
              <c:extLst>
                <c:ext xmlns:c15="http://schemas.microsoft.com/office/drawing/2012/chart" uri="{02D57815-91ED-43cb-92C2-25804820EDAC}">
                  <c15:fullRef>
                    <c15:sqref>Budget!$B$5:$V$5</c15:sqref>
                  </c15:fullRef>
                </c:ext>
              </c:extLst>
              <c:f>(Budget!$B$5:$C$5,Budget!$E$5:$V$5)</c:f>
              <c:numCache>
                <c:formatCode>General</c:formatCode>
                <c:ptCount val="20"/>
                <c:pt idx="0">
                  <c:v>0</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extLst>
                <c:ext xmlns:c15="http://schemas.microsoft.com/office/drawing/2012/chart" uri="{02D57815-91ED-43cb-92C2-25804820EDAC}">
                  <c15:fullRef>
                    <c15:sqref>'Equipment '!$F$70:$H$70</c15:sqref>
                  </c15:fullRef>
                </c:ext>
              </c:extLst>
              <c:f>'Equipment '!$F$70:$G$70</c:f>
              <c:numCache>
                <c:formatCode>0</c:formatCode>
                <c:ptCount val="1"/>
                <c:pt idx="0">
                  <c:v>17</c:v>
                </c:pt>
              </c:numCache>
            </c:numRef>
          </c:val>
          <c:extLst>
            <c:ext xmlns:c16="http://schemas.microsoft.com/office/drawing/2014/chart" uri="{C3380CC4-5D6E-409C-BE32-E72D297353CC}">
              <c16:uniqueId val="{00000003-3CD9-4348-86BB-566039A2CEF5}"/>
            </c:ext>
          </c:extLst>
        </c:ser>
        <c:ser>
          <c:idx val="4"/>
          <c:order val="4"/>
          <c:tx>
            <c:strRef>
              <c:f>'Equipment '!$E$71</c:f>
              <c:strCache>
                <c:ptCount val="1"/>
                <c:pt idx="0">
                  <c:v>Small utility vehicle</c:v>
                </c:pt>
              </c:strCache>
            </c:strRef>
          </c:tx>
          <c:spPr>
            <a:solidFill>
              <a:schemeClr val="accent5"/>
            </a:solidFill>
            <a:ln>
              <a:noFill/>
            </a:ln>
            <a:effectLst/>
          </c:spPr>
          <c:invertIfNegative val="0"/>
          <c:dLbls>
            <c:delete val="1"/>
          </c:dLbls>
          <c:cat>
            <c:numRef>
              <c:extLst>
                <c:ext xmlns:c15="http://schemas.microsoft.com/office/drawing/2012/chart" uri="{02D57815-91ED-43cb-92C2-25804820EDAC}">
                  <c15:fullRef>
                    <c15:sqref>Budget!$B$5:$V$5</c15:sqref>
                  </c15:fullRef>
                </c:ext>
              </c:extLst>
              <c:f>(Budget!$B$5:$C$5,Budget!$E$5:$V$5)</c:f>
              <c:numCache>
                <c:formatCode>General</c:formatCode>
                <c:ptCount val="20"/>
                <c:pt idx="0">
                  <c:v>0</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extLst>
                <c:ext xmlns:c15="http://schemas.microsoft.com/office/drawing/2012/chart" uri="{02D57815-91ED-43cb-92C2-25804820EDAC}">
                  <c15:fullRef>
                    <c15:sqref>'Equipment '!$F$71:$H$71</c15:sqref>
                  </c15:fullRef>
                </c:ext>
              </c:extLst>
              <c:f>'Equipment '!$F$71:$G$71</c:f>
              <c:numCache>
                <c:formatCode>0</c:formatCode>
                <c:ptCount val="1"/>
                <c:pt idx="0">
                  <c:v>7</c:v>
                </c:pt>
              </c:numCache>
            </c:numRef>
          </c:val>
          <c:extLst>
            <c:ext xmlns:c16="http://schemas.microsoft.com/office/drawing/2014/chart" uri="{C3380CC4-5D6E-409C-BE32-E72D297353CC}">
              <c16:uniqueId val="{00000004-3CD9-4348-86BB-566039A2CEF5}"/>
            </c:ext>
          </c:extLst>
        </c:ser>
        <c:dLbls>
          <c:dLblPos val="inEnd"/>
          <c:showLegendKey val="0"/>
          <c:showVal val="1"/>
          <c:showCatName val="0"/>
          <c:showSerName val="0"/>
          <c:showPercent val="0"/>
          <c:showBubbleSize val="0"/>
        </c:dLbls>
        <c:gapWidth val="182"/>
        <c:axId val="-2089044904"/>
        <c:axId val="-2089041816"/>
      </c:barChart>
      <c:catAx>
        <c:axId val="-2089044904"/>
        <c:scaling>
          <c:orientation val="minMax"/>
        </c:scaling>
        <c:delete val="1"/>
        <c:axPos val="l"/>
        <c:numFmt formatCode="General" sourceLinked="1"/>
        <c:majorTickMark val="none"/>
        <c:minorTickMark val="none"/>
        <c:tickLblPos val="nextTo"/>
        <c:crossAx val="-2089041816"/>
        <c:crosses val="autoZero"/>
        <c:auto val="0"/>
        <c:lblAlgn val="ctr"/>
        <c:lblOffset val="100"/>
        <c:noMultiLvlLbl val="0"/>
      </c:catAx>
      <c:valAx>
        <c:axId val="-208904181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9044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283162</xdr:rowOff>
    </xdr:from>
    <xdr:to>
      <xdr:col>0</xdr:col>
      <xdr:colOff>12099757</xdr:colOff>
      <xdr:row>24</xdr:row>
      <xdr:rowOff>180975</xdr:rowOff>
    </xdr:to>
    <xdr:pic>
      <xdr:nvPicPr>
        <xdr:cNvPr id="8" name="Picture 7">
          <a:extLst>
            <a:ext uri="{FF2B5EF4-FFF2-40B4-BE49-F238E27FC236}">
              <a16:creationId xmlns:a16="http://schemas.microsoft.com/office/drawing/2014/main" id="{D88D8AE2-A87C-4B38-9BEA-ABBB19FAFF64}"/>
            </a:ext>
          </a:extLst>
        </xdr:cNvPr>
        <xdr:cNvPicPr>
          <a:picLocks noChangeAspect="1"/>
        </xdr:cNvPicPr>
      </xdr:nvPicPr>
      <xdr:blipFill rotWithShape="1">
        <a:blip xmlns:r="http://schemas.openxmlformats.org/officeDocument/2006/relationships" r:embed="rId1"/>
        <a:srcRect t="29966" b="31818"/>
        <a:stretch/>
      </xdr:blipFill>
      <xdr:spPr>
        <a:xfrm>
          <a:off x="0" y="5712412"/>
          <a:ext cx="12099757" cy="26124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20</xdr:row>
      <xdr:rowOff>-1</xdr:rowOff>
    </xdr:from>
    <xdr:to>
      <xdr:col>4</xdr:col>
      <xdr:colOff>418535</xdr:colOff>
      <xdr:row>28</xdr:row>
      <xdr:rowOff>186417</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88900</xdr:colOff>
      <xdr:row>29</xdr:row>
      <xdr:rowOff>25400</xdr:rowOff>
    </xdr:from>
    <xdr:to>
      <xdr:col>4</xdr:col>
      <xdr:colOff>654050</xdr:colOff>
      <xdr:row>39</xdr:row>
      <xdr:rowOff>742950</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78468</xdr:colOff>
      <xdr:row>24</xdr:row>
      <xdr:rowOff>164646</xdr:rowOff>
    </xdr:from>
    <xdr:to>
      <xdr:col>6</xdr:col>
      <xdr:colOff>378732</xdr:colOff>
      <xdr:row>32</xdr:row>
      <xdr:rowOff>30389</xdr:rowOff>
    </xdr:to>
    <xdr:sp macro="" textlink="">
      <xdr:nvSpPr>
        <xdr:cNvPr id="3" name="Rounded Rectangular Callout 2">
          <a:extLst>
            <a:ext uri="{FF2B5EF4-FFF2-40B4-BE49-F238E27FC236}">
              <a16:creationId xmlns:a16="http://schemas.microsoft.com/office/drawing/2014/main" id="{00000000-0008-0000-0200-000003000000}"/>
            </a:ext>
          </a:extLst>
        </xdr:cNvPr>
        <xdr:cNvSpPr/>
      </xdr:nvSpPr>
      <xdr:spPr>
        <a:xfrm rot="10800000">
          <a:off x="7457168" y="5765346"/>
          <a:ext cx="973364" cy="1288143"/>
        </a:xfrm>
        <a:prstGeom prst="wedgeRoundRectCallout">
          <a:avLst>
            <a:gd name="adj1" fmla="val 87491"/>
            <a:gd name="adj2" fmla="val -3784"/>
            <a:gd name="adj3" fmla="val 16667"/>
          </a:avLst>
        </a:prstGeom>
        <a:solidFill>
          <a:schemeClr val="accent1">
            <a:alpha val="6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bg1"/>
            </a:solidFill>
            <a:latin typeface="Times New Roman" panose="02020603050405020304" pitchFamily="18" charset="0"/>
            <a:cs typeface="Times New Roman" panose="02020603050405020304" pitchFamily="18" charset="0"/>
          </a:endParaRPr>
        </a:p>
      </xdr:txBody>
    </xdr:sp>
    <xdr:clientData/>
  </xdr:twoCellAnchor>
  <xdr:twoCellAnchor>
    <xdr:from>
      <xdr:col>5</xdr:col>
      <xdr:colOff>146050</xdr:colOff>
      <xdr:row>25</xdr:row>
      <xdr:rowOff>38100</xdr:rowOff>
    </xdr:from>
    <xdr:to>
      <xdr:col>6</xdr:col>
      <xdr:colOff>349250</xdr:colOff>
      <xdr:row>31</xdr:row>
      <xdr:rowOff>166914</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7524750" y="5816600"/>
          <a:ext cx="876300" cy="1195614"/>
        </a:xfrm>
        <a:prstGeom prst="rect">
          <a:avLst/>
        </a:prstGeom>
        <a:solidFill>
          <a:schemeClr val="accent1">
            <a:alpha val="59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solidFill>
                <a:schemeClr val="bg1"/>
              </a:solidFill>
              <a:latin typeface="Times New Roman" panose="02020603050405020304" pitchFamily="18" charset="0"/>
              <a:cs typeface="Times New Roman" panose="02020603050405020304" pitchFamily="18" charset="0"/>
            </a:rPr>
            <a:t>Note,</a:t>
          </a:r>
          <a:r>
            <a:rPr lang="en-US" sz="1100" baseline="0">
              <a:solidFill>
                <a:schemeClr val="bg1"/>
              </a:solidFill>
              <a:latin typeface="Times New Roman" panose="02020603050405020304" pitchFamily="18" charset="0"/>
              <a:cs typeface="Times New Roman" panose="02020603050405020304" pitchFamily="18" charset="0"/>
            </a:rPr>
            <a:t> these two figures have different vertical  scales.</a:t>
          </a:r>
          <a:endParaRPr lang="en-US" sz="1100">
            <a:solidFill>
              <a:schemeClr val="bg1"/>
            </a:solidFill>
            <a:latin typeface="Times New Roman" panose="02020603050405020304" pitchFamily="18" charset="0"/>
            <a:cs typeface="Times New Roman" panose="02020603050405020304" pitchFamily="18" charset="0"/>
          </a:endParaRPr>
        </a:p>
      </xdr:txBody>
    </xdr:sp>
    <xdr:clientData/>
  </xdr:twoCellAnchor>
  <xdr:twoCellAnchor>
    <xdr:from>
      <xdr:col>4</xdr:col>
      <xdr:colOff>42333</xdr:colOff>
      <xdr:row>2</xdr:row>
      <xdr:rowOff>245533</xdr:rowOff>
    </xdr:from>
    <xdr:to>
      <xdr:col>11</xdr:col>
      <xdr:colOff>55940</xdr:colOff>
      <xdr:row>16</xdr:row>
      <xdr:rowOff>367997</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53</xdr:row>
      <xdr:rowOff>0</xdr:rowOff>
    </xdr:from>
    <xdr:to>
      <xdr:col>6</xdr:col>
      <xdr:colOff>1137558</xdr:colOff>
      <xdr:row>62</xdr:row>
      <xdr:rowOff>241981</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9525</xdr:colOff>
      <xdr:row>17</xdr:row>
      <xdr:rowOff>133349</xdr:rowOff>
    </xdr:from>
    <xdr:to>
      <xdr:col>12</xdr:col>
      <xdr:colOff>933450</xdr:colOff>
      <xdr:row>19</xdr:row>
      <xdr:rowOff>19050</xdr:rowOff>
    </xdr:to>
    <xdr:sp macro="" textlink="">
      <xdr:nvSpPr>
        <xdr:cNvPr id="2" name="Rectangular Callout 1">
          <a:extLst>
            <a:ext uri="{FF2B5EF4-FFF2-40B4-BE49-F238E27FC236}">
              <a16:creationId xmlns:a16="http://schemas.microsoft.com/office/drawing/2014/main" id="{00000000-0008-0000-0500-000002000000}"/>
            </a:ext>
          </a:extLst>
        </xdr:cNvPr>
        <xdr:cNvSpPr/>
      </xdr:nvSpPr>
      <xdr:spPr>
        <a:xfrm>
          <a:off x="10496550" y="5743574"/>
          <a:ext cx="6067425" cy="266701"/>
        </a:xfrm>
        <a:prstGeom prst="wedgeRectCallout">
          <a:avLst>
            <a:gd name="adj1" fmla="val -20833"/>
            <a:gd name="adj2" fmla="val 101786"/>
          </a:avLst>
        </a:prstGeom>
        <a:solidFill>
          <a:schemeClr val="accent1">
            <a:alpha val="68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Feel</a:t>
          </a:r>
          <a:r>
            <a:rPr lang="en-US" sz="1100" baseline="0"/>
            <a:t> free to alter the crop level for any given year to explore the results of a bumper crop or crop loss.</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28</xdr:row>
      <xdr:rowOff>161923</xdr:rowOff>
    </xdr:from>
    <xdr:to>
      <xdr:col>4</xdr:col>
      <xdr:colOff>1744133</xdr:colOff>
      <xdr:row>72</xdr:row>
      <xdr:rowOff>76200</xdr:rowOff>
    </xdr:to>
    <xdr:sp macro="" textlink="">
      <xdr:nvSpPr>
        <xdr:cNvPr id="7" name="Rectangle 6">
          <a:extLst>
            <a:ext uri="{FF2B5EF4-FFF2-40B4-BE49-F238E27FC236}">
              <a16:creationId xmlns:a16="http://schemas.microsoft.com/office/drawing/2014/main" id="{00000000-0008-0000-0600-000007000000}"/>
            </a:ext>
          </a:extLst>
        </xdr:cNvPr>
        <xdr:cNvSpPr/>
      </xdr:nvSpPr>
      <xdr:spPr>
        <a:xfrm>
          <a:off x="0" y="6097056"/>
          <a:ext cx="7840133" cy="7525811"/>
        </a:xfrm>
        <a:prstGeom prst="rect">
          <a:avLst/>
        </a:prstGeom>
        <a:solidFill>
          <a:srgbClr val="DCE6F2"/>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baseline="0">
              <a:solidFill>
                <a:sysClr val="windowText" lastClr="000000"/>
              </a:solidFill>
              <a:latin typeface="Times New Roman" panose="02020603050405020304" pitchFamily="18" charset="0"/>
              <a:cs typeface="Times New Roman" panose="02020603050405020304" pitchFamily="18" charset="0"/>
            </a:rPr>
            <a:t>This box explains the meaning of the discount rate, NPV of net income before taxes, and cumulative net income before taxes. Scroll down for the full explanation.</a:t>
          </a:r>
        </a:p>
        <a:p>
          <a:pPr algn="ctr"/>
          <a:endParaRPr lang="en-US" sz="1100" b="1" baseline="0">
            <a:solidFill>
              <a:sysClr val="windowText" lastClr="000000"/>
            </a:solidFill>
            <a:latin typeface="Times New Roman" panose="02020603050405020304" pitchFamily="18" charset="0"/>
            <a:cs typeface="Times New Roman" panose="02020603050405020304" pitchFamily="18" charset="0"/>
          </a:endParaRPr>
        </a:p>
        <a:p>
          <a:pPr algn="l"/>
          <a:r>
            <a:rPr lang="en-US" sz="1100" b="1" baseline="0">
              <a:solidFill>
                <a:sysClr val="windowText" lastClr="000000"/>
              </a:solidFill>
              <a:latin typeface="Times New Roman" panose="02020603050405020304" pitchFamily="18" charset="0"/>
              <a:cs typeface="Times New Roman" panose="02020603050405020304" pitchFamily="18" charset="0"/>
            </a:rPr>
            <a:t>Q. What is NPV of net cash flow?</a:t>
          </a:r>
        </a:p>
        <a:p>
          <a:pPr algn="l"/>
          <a:endParaRPr lang="en-US" sz="1100" baseline="0">
            <a:solidFill>
              <a:sysClr val="windowText" lastClr="000000"/>
            </a:solidFill>
            <a:latin typeface="Times New Roman" panose="02020603050405020304" pitchFamily="18" charset="0"/>
            <a:cs typeface="Times New Roman" panose="02020603050405020304" pitchFamily="18" charset="0"/>
          </a:endParaRPr>
        </a:p>
        <a:p>
          <a:pPr algn="l"/>
          <a:r>
            <a:rPr lang="en-US" sz="1100" b="1" baseline="0">
              <a:solidFill>
                <a:sysClr val="windowText" lastClr="000000"/>
              </a:solidFill>
              <a:latin typeface="Times New Roman" panose="02020603050405020304" pitchFamily="18" charset="0"/>
              <a:cs typeface="Times New Roman" panose="02020603050405020304" pitchFamily="18" charset="0"/>
            </a:rPr>
            <a:t>A. </a:t>
          </a:r>
          <a:r>
            <a:rPr lang="en-US" sz="1100" baseline="0">
              <a:solidFill>
                <a:sysClr val="windowText" lastClr="000000"/>
              </a:solidFill>
              <a:latin typeface="Times New Roman" panose="02020603050405020304" pitchFamily="18" charset="0"/>
              <a:cs typeface="Times New Roman" panose="02020603050405020304" pitchFamily="18" charset="0"/>
            </a:rPr>
            <a:t>Net present value (NPV) of net cash flow before taxes uses the time value of money to help evaluate the viability of a long-term investment. Although the term "time value of money" may be unfamiliar, you probably already have an intuitive understanding of it. The meaning of the term can be illustrated by a simple question:</a:t>
          </a:r>
        </a:p>
        <a:p>
          <a:pPr algn="l"/>
          <a:endParaRPr lang="en-US" sz="1100" baseline="0">
            <a:solidFill>
              <a:sysClr val="windowText" lastClr="000000"/>
            </a:solidFill>
            <a:latin typeface="Times New Roman" panose="02020603050405020304" pitchFamily="18" charset="0"/>
            <a:cs typeface="Times New Roman" panose="02020603050405020304" pitchFamily="18" charset="0"/>
          </a:endParaRPr>
        </a:p>
        <a:p>
          <a:pPr algn="ctr"/>
          <a:r>
            <a:rPr lang="en-US" sz="1100" baseline="0">
              <a:solidFill>
                <a:sysClr val="windowText" lastClr="000000"/>
              </a:solidFill>
              <a:latin typeface="Times New Roman" panose="02020603050405020304" pitchFamily="18" charset="0"/>
              <a:cs typeface="Times New Roman" panose="02020603050405020304" pitchFamily="18" charset="0"/>
            </a:rPr>
            <a:t>Would you rather we give you $1 today or promise to give you $1 a year from now?  </a:t>
          </a:r>
        </a:p>
        <a:p>
          <a:pPr algn="ctr"/>
          <a:endParaRPr lang="en-US" sz="1100" baseline="0">
            <a:solidFill>
              <a:sysClr val="windowText" lastClr="000000"/>
            </a:solidFill>
            <a:latin typeface="Times New Roman" panose="02020603050405020304" pitchFamily="18" charset="0"/>
            <a:cs typeface="Times New Roman" panose="02020603050405020304" pitchFamily="18" charset="0"/>
          </a:endParaRPr>
        </a:p>
        <a:p>
          <a:pPr algn="l"/>
          <a:r>
            <a:rPr lang="en-US" sz="1100" baseline="0">
              <a:solidFill>
                <a:sysClr val="windowText" lastClr="000000"/>
              </a:solidFill>
              <a:latin typeface="Times New Roman" panose="02020603050405020304" pitchFamily="18" charset="0"/>
              <a:cs typeface="Times New Roman" panose="02020603050405020304" pitchFamily="18" charset="0"/>
            </a:rPr>
            <a:t>Clearly, you would probably rather have the $1 today. Doing so eliminates the risk that we won't pay up and gives you the freedom to spend your $1 or invest it at interest. Thus, the time value of money simply means that a dollar today is worth more than a dollar tomorrow.</a:t>
          </a:r>
        </a:p>
        <a:p>
          <a:pPr algn="l"/>
          <a:endParaRPr lang="en-US" sz="1100" baseline="0">
            <a:solidFill>
              <a:sysClr val="windowText" lastClr="000000"/>
            </a:solidFill>
            <a:latin typeface="Times New Roman" panose="02020603050405020304" pitchFamily="18" charset="0"/>
            <a:cs typeface="Times New Roman" panose="02020603050405020304" pitchFamily="18" charset="0"/>
          </a:endParaRPr>
        </a:p>
        <a:p>
          <a:pPr algn="l"/>
          <a:r>
            <a:rPr lang="en-US" sz="1100" baseline="0">
              <a:solidFill>
                <a:sysClr val="windowText" lastClr="000000"/>
              </a:solidFill>
              <a:latin typeface="Times New Roman" panose="02020603050405020304" pitchFamily="18" charset="0"/>
              <a:cs typeface="Times New Roman" panose="02020603050405020304" pitchFamily="18" charset="0"/>
            </a:rPr>
            <a:t>NPV takes this understanding into account by reducing the value of dollars earned in the future using a discount rate. In this budget, the NPV of net income before taxes discounts each year's earnings (or losses) so they are expressed in terms of how much they are worth to you today.</a:t>
          </a:r>
        </a:p>
        <a:p>
          <a:pPr algn="l"/>
          <a:endParaRPr lang="en-US" sz="1100" baseline="0">
            <a:solidFill>
              <a:sysClr val="windowText" lastClr="000000"/>
            </a:solidFill>
            <a:latin typeface="Times New Roman" panose="02020603050405020304" pitchFamily="18" charset="0"/>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Q. What discount rate should I use?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A. </a:t>
          </a:r>
          <a:r>
            <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Since NPV is supposed to reflect the value of money if you had it in your hands today, it is common practice to use the rate that you could have earned if you were to invest in your next best alternative investment. For example, if you know you could earn a 20-year rate of return of 7% by investing in a restaurant and that is your next best investment option, then you might want to use a discount rate of 7%.</a:t>
          </a:r>
          <a:endParaRPr lang="en-US" sz="1100" baseline="0">
            <a:solidFill>
              <a:sysClr val="windowText" lastClr="000000"/>
            </a:solidFill>
            <a:latin typeface="Times New Roman" panose="02020603050405020304" pitchFamily="18" charset="0"/>
            <a:cs typeface="Times New Roman" panose="02020603050405020304" pitchFamily="18" charset="0"/>
          </a:endParaRPr>
        </a:p>
        <a:p>
          <a:pPr algn="l"/>
          <a:endParaRPr lang="en-US" sz="1100" baseline="0">
            <a:solidFill>
              <a:sysClr val="windowText" lastClr="000000"/>
            </a:solidFill>
            <a:latin typeface="Times New Roman" panose="02020603050405020304" pitchFamily="18" charset="0"/>
            <a:cs typeface="Times New Roman" panose="02020603050405020304" pitchFamily="18" charset="0"/>
          </a:endParaRPr>
        </a:p>
        <a:p>
          <a:pPr algn="l"/>
          <a:r>
            <a:rPr lang="en-US" sz="1100" b="1" baseline="0">
              <a:solidFill>
                <a:sysClr val="windowText" lastClr="000000"/>
              </a:solidFill>
              <a:latin typeface="Times New Roman" panose="02020603050405020304" pitchFamily="18" charset="0"/>
              <a:cs typeface="Times New Roman" panose="02020603050405020304" pitchFamily="18" charset="0"/>
            </a:rPr>
            <a:t>Q. What is cumulative NPV of net income before taxes?</a:t>
          </a:r>
        </a:p>
        <a:p>
          <a:pPr algn="ctr"/>
          <a:endParaRPr lang="en-US" sz="1100" b="1" baseline="0">
            <a:solidFill>
              <a:sysClr val="windowText" lastClr="000000"/>
            </a:solidFill>
            <a:latin typeface="Times New Roman" panose="02020603050405020304" pitchFamily="18" charset="0"/>
            <a:cs typeface="Times New Roman" panose="02020603050405020304" pitchFamily="18" charset="0"/>
          </a:endParaRPr>
        </a:p>
        <a:p>
          <a:pPr algn="l"/>
          <a:r>
            <a:rPr lang="en-US" sz="1100" b="1" baseline="0">
              <a:solidFill>
                <a:sysClr val="windowText" lastClr="000000"/>
              </a:solidFill>
              <a:latin typeface="Times New Roman" panose="02020603050405020304" pitchFamily="18" charset="0"/>
              <a:cs typeface="Times New Roman" panose="02020603050405020304" pitchFamily="18" charset="0"/>
            </a:rPr>
            <a:t>A. </a:t>
          </a:r>
          <a:r>
            <a:rPr lang="en-US" sz="1100" baseline="0">
              <a:solidFill>
                <a:sysClr val="windowText" lastClr="000000"/>
              </a:solidFill>
              <a:latin typeface="Times New Roman" panose="02020603050405020304" pitchFamily="18" charset="0"/>
              <a:cs typeface="Times New Roman" panose="02020603050405020304" pitchFamily="18" charset="0"/>
            </a:rPr>
            <a:t>The cumulative NPV of net income before taxes is simply the sum of each annual NPV up to the current year. By adding the annual NPVs together,</a:t>
          </a:r>
          <a:r>
            <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this estimate totals how much more (or less) you earned growing wine grapes after taking into account how much you could have earned in an alternative investment.</a:t>
          </a:r>
          <a:endParaRPr lang="en-US" sz="1100" baseline="0">
            <a:solidFill>
              <a:sysClr val="windowText" lastClr="000000"/>
            </a:solidFill>
            <a:latin typeface="Times New Roman" panose="02020603050405020304" pitchFamily="18" charset="0"/>
            <a:cs typeface="Times New Roman" panose="02020603050405020304" pitchFamily="18" charset="0"/>
          </a:endParaRPr>
        </a:p>
        <a:p>
          <a:pPr algn="l"/>
          <a:endParaRPr lang="en-US" sz="1100" baseline="0">
            <a:solidFill>
              <a:sysClr val="windowText" lastClr="000000"/>
            </a:solidFill>
            <a:latin typeface="Times New Roman" panose="02020603050405020304" pitchFamily="18" charset="0"/>
            <a:cs typeface="Times New Roman" panose="02020603050405020304" pitchFamily="18" charset="0"/>
          </a:endParaRPr>
        </a:p>
        <a:p>
          <a:pPr algn="l"/>
          <a:r>
            <a:rPr lang="en-US" sz="1100" b="1" baseline="0">
              <a:solidFill>
                <a:sysClr val="windowText" lastClr="000000"/>
              </a:solidFill>
              <a:latin typeface="Times New Roman" panose="02020603050405020304" pitchFamily="18" charset="0"/>
              <a:cs typeface="Times New Roman" panose="02020603050405020304" pitchFamily="18" charset="0"/>
            </a:rPr>
            <a:t>Q. What does a positive (or negative) cumulative NPV mean?</a:t>
          </a:r>
        </a:p>
        <a:p>
          <a:pPr algn="l"/>
          <a:endParaRPr lang="en-US" sz="1100" b="1" baseline="0">
            <a:solidFill>
              <a:sysClr val="windowText" lastClr="000000"/>
            </a:solidFill>
            <a:latin typeface="Times New Roman" panose="02020603050405020304" pitchFamily="18" charset="0"/>
            <a:cs typeface="Times New Roman" panose="02020603050405020304" pitchFamily="18" charset="0"/>
          </a:endParaRPr>
        </a:p>
        <a:p>
          <a:pPr algn="l"/>
          <a:r>
            <a:rPr lang="en-US" sz="1100" b="1" baseline="0">
              <a:solidFill>
                <a:sysClr val="windowText" lastClr="000000"/>
              </a:solidFill>
              <a:latin typeface="Times New Roman" panose="02020603050405020304" pitchFamily="18" charset="0"/>
              <a:cs typeface="Times New Roman" panose="02020603050405020304" pitchFamily="18" charset="0"/>
            </a:rPr>
            <a:t>A. </a:t>
          </a:r>
          <a:r>
            <a:rPr lang="en-US" sz="1100" b="0" baseline="0">
              <a:solidFill>
                <a:sysClr val="windowText" lastClr="000000"/>
              </a:solidFill>
              <a:latin typeface="Times New Roman" panose="02020603050405020304" pitchFamily="18" charset="0"/>
              <a:cs typeface="Times New Roman" panose="02020603050405020304" pitchFamily="18" charset="0"/>
            </a:rPr>
            <a:t>A cumulative NPV of greater than $0 means it's estimated that you'd earn more growing wine grapes than you would with your next best investment option. On the other hand, a cumulative NPV estimate of less than $0 means that it's estimated that you'd earn less growing wine grapes than your next best investment option. In the latter case, you'd probably be better off choosing the alternative investment.</a:t>
          </a:r>
        </a:p>
        <a:p>
          <a:pPr algn="l"/>
          <a:endParaRPr lang="en-US" sz="1100" b="0" baseline="0">
            <a:solidFill>
              <a:sysClr val="windowText" lastClr="000000"/>
            </a:solidFill>
            <a:latin typeface="Times New Roman" panose="02020603050405020304" pitchFamily="18" charset="0"/>
            <a:cs typeface="Times New Roman" panose="02020603050405020304" pitchFamily="18" charset="0"/>
          </a:endParaRPr>
        </a:p>
        <a:p>
          <a:r>
            <a:rPr lang="en-US" sz="1100" b="0" i="0" baseline="0">
              <a:solidFill>
                <a:sysClr val="windowText" lastClr="000000"/>
              </a:solidFill>
              <a:latin typeface="Times New Roman" panose="02020603050405020304" pitchFamily="18" charset="0"/>
              <a:cs typeface="Times New Roman" panose="02020603050405020304" pitchFamily="18" charset="0"/>
            </a:rPr>
            <a:t>From VCE p</a:t>
          </a:r>
          <a:r>
            <a:rPr lang="en-US" sz="1100" i="0">
              <a:solidFill>
                <a:sysClr val="windowText" lastClr="000000"/>
              </a:solidFill>
              <a:effectLst/>
              <a:latin typeface="Times New Roman" panose="02020603050405020304" pitchFamily="18" charset="0"/>
              <a:ea typeface="+mn-ea"/>
              <a:cs typeface="Times New Roman" panose="02020603050405020304" pitchFamily="18" charset="0"/>
            </a:rPr>
            <a:t>ublication</a:t>
          </a:r>
          <a:r>
            <a:rPr lang="en-US" sz="1100" i="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100" i="0">
              <a:solidFill>
                <a:sysClr val="windowText" lastClr="000000"/>
              </a:solidFill>
              <a:effectLst/>
              <a:latin typeface="Times New Roman" panose="02020603050405020304" pitchFamily="18" charset="0"/>
              <a:ea typeface="+mn-ea"/>
              <a:cs typeface="Times New Roman" panose="02020603050405020304" pitchFamily="18" charset="0"/>
            </a:rPr>
            <a:t>AREC-46P:</a:t>
          </a:r>
        </a:p>
        <a:p>
          <a:r>
            <a:rPr lang="en-US" sz="1100" b="1" i="0">
              <a:solidFill>
                <a:sysClr val="windowText" lastClr="000000"/>
              </a:solidFill>
              <a:effectLst/>
              <a:latin typeface="Times New Roman" panose="02020603050405020304" pitchFamily="18" charset="0"/>
              <a:ea typeface="+mn-ea"/>
              <a:cs typeface="Times New Roman" panose="02020603050405020304" pitchFamily="18" charset="0"/>
            </a:rPr>
            <a:t>"Assessing the Economic Feasibility of Growing Specialized Apple </a:t>
          </a:r>
        </a:p>
        <a:p>
          <a:r>
            <a:rPr lang="en-US" sz="1100" b="1" i="0">
              <a:solidFill>
                <a:sysClr val="windowText" lastClr="000000"/>
              </a:solidFill>
              <a:effectLst/>
              <a:latin typeface="Times New Roman" panose="02020603050405020304" pitchFamily="18" charset="0"/>
              <a:ea typeface="+mn-ea"/>
              <a:cs typeface="Times New Roman" panose="02020603050405020304" pitchFamily="18" charset="0"/>
            </a:rPr>
            <a:t>Cultivars for Sale to Commercial Hard Cider Producers"</a:t>
          </a:r>
          <a:r>
            <a:rPr lang="en-US" sz="1100" b="0" i="0">
              <a:solidFill>
                <a:sysClr val="windowText" lastClr="000000"/>
              </a:solidFill>
              <a:effectLst/>
              <a:latin typeface="Times New Roman" panose="02020603050405020304" pitchFamily="18" charset="0"/>
              <a:ea typeface="+mn-ea"/>
              <a:cs typeface="Times New Roman" panose="02020603050405020304" pitchFamily="18" charset="0"/>
            </a:rPr>
            <a:t> (2013).</a:t>
          </a:r>
        </a:p>
        <a:p>
          <a:r>
            <a:rPr lang="en-US" sz="1100" i="0">
              <a:solidFill>
                <a:sysClr val="windowText" lastClr="000000"/>
              </a:solidFill>
              <a:effectLst/>
              <a:latin typeface="Times New Roman" panose="02020603050405020304" pitchFamily="18" charset="0"/>
              <a:ea typeface="+mn-ea"/>
              <a:cs typeface="Times New Roman" panose="02020603050405020304" pitchFamily="18" charset="0"/>
            </a:rPr>
            <a:t>Jarrad Farris, Greg Peck, and Gordon Groover. </a:t>
          </a:r>
        </a:p>
        <a:p>
          <a:pPr algn="l"/>
          <a:endParaRPr lang="en-US" sz="1100" b="0" baseline="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ny%20Wolf/Desktop/GrapeBudget_Wine%20Grape%20Guide_Wolf%20inputs%20on%20materials_December-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Lists"/>
      <sheetName val="What If"/>
      <sheetName val="trellis"/>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hatch@vt.edu?subject=VFC"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pubs.ext.vt.edu/AEE/AEE-67/AEE-67-PDF.pdf" TargetMode="External"/><Relationship Id="rId1" Type="http://schemas.openxmlformats.org/officeDocument/2006/relationships/hyperlink" Target="https://pubs.ext.vt.edu/310/310-100/310-100_pdf.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6FF33"/>
  </sheetPr>
  <dimension ref="A1:I23"/>
  <sheetViews>
    <sheetView showGridLines="0" tabSelected="1" workbookViewId="0">
      <selection activeCell="L31" sqref="L31"/>
    </sheetView>
  </sheetViews>
  <sheetFormatPr baseColWidth="10" defaultColWidth="9.1640625" defaultRowHeight="15" x14ac:dyDescent="0.2"/>
  <cols>
    <col min="1" max="1" width="186" customWidth="1"/>
    <col min="2" max="8" width="9.1640625" hidden="1" customWidth="1"/>
    <col min="9" max="9" width="5" customWidth="1"/>
  </cols>
  <sheetData>
    <row r="1" spans="1:9" s="13" customFormat="1" ht="37.5" customHeight="1" x14ac:dyDescent="0.3">
      <c r="A1" s="313" t="s">
        <v>371</v>
      </c>
    </row>
    <row r="2" spans="1:9" s="18" customFormat="1" ht="21.75" customHeight="1" x14ac:dyDescent="0.2">
      <c r="A2" s="391" t="s">
        <v>370</v>
      </c>
    </row>
    <row r="3" spans="1:9" s="18" customFormat="1" ht="15.75" customHeight="1" x14ac:dyDescent="0.2">
      <c r="A3" s="392" t="s">
        <v>369</v>
      </c>
    </row>
    <row r="4" spans="1:9" s="18" customFormat="1" ht="15.75" customHeight="1" x14ac:dyDescent="0.2">
      <c r="A4" s="392" t="s">
        <v>133</v>
      </c>
    </row>
    <row r="5" spans="1:9" s="18" customFormat="1" ht="21" customHeight="1" x14ac:dyDescent="0.2">
      <c r="A5" s="117" t="s">
        <v>372</v>
      </c>
    </row>
    <row r="6" spans="1:9" s="18" customFormat="1" ht="21" customHeight="1" x14ac:dyDescent="0.2">
      <c r="A6" s="393" t="s">
        <v>373</v>
      </c>
      <c r="I6" s="311"/>
    </row>
    <row r="7" spans="1:9" s="243" customFormat="1" ht="122" customHeight="1" x14ac:dyDescent="0.2">
      <c r="A7" s="339" t="s">
        <v>303</v>
      </c>
      <c r="B7" s="394"/>
      <c r="C7" s="394"/>
      <c r="D7" s="394"/>
      <c r="E7" s="394"/>
      <c r="F7" s="394"/>
      <c r="G7" s="394"/>
      <c r="H7" s="394"/>
      <c r="I7" s="339"/>
    </row>
    <row r="8" spans="1:9" s="244" customFormat="1" ht="49" customHeight="1" x14ac:dyDescent="0.2">
      <c r="A8" s="395" t="s">
        <v>374</v>
      </c>
      <c r="B8" s="241"/>
      <c r="C8" s="241"/>
      <c r="D8" s="241"/>
      <c r="E8" s="241"/>
      <c r="F8" s="241"/>
      <c r="G8" s="241"/>
      <c r="H8" s="241"/>
      <c r="I8" s="241"/>
    </row>
    <row r="9" spans="1:9" s="25" customFormat="1" ht="29" customHeight="1" x14ac:dyDescent="0.25">
      <c r="A9" s="396" t="s">
        <v>375</v>
      </c>
      <c r="B9" s="24"/>
      <c r="C9" s="24"/>
      <c r="D9" s="24"/>
      <c r="E9" s="24"/>
      <c r="F9" s="24"/>
      <c r="G9" s="24"/>
      <c r="H9" s="24"/>
      <c r="I9" s="24"/>
    </row>
    <row r="10" spans="1:9" s="176" customFormat="1" ht="21" customHeight="1" x14ac:dyDescent="0.2">
      <c r="A10" s="397" t="s">
        <v>376</v>
      </c>
      <c r="B10" s="175"/>
      <c r="C10" s="175"/>
      <c r="D10" s="175"/>
      <c r="E10" s="175"/>
      <c r="F10" s="175"/>
      <c r="G10" s="175"/>
      <c r="H10" s="175"/>
      <c r="I10" s="175"/>
    </row>
    <row r="11" spans="1:9" s="176" customFormat="1" ht="24" customHeight="1" x14ac:dyDescent="0.2">
      <c r="A11" s="397" t="s">
        <v>377</v>
      </c>
      <c r="B11" s="175"/>
      <c r="C11" s="175"/>
      <c r="D11" s="175"/>
      <c r="E11" s="175"/>
      <c r="F11" s="175"/>
      <c r="G11" s="175"/>
      <c r="H11" s="175"/>
      <c r="I11" s="175"/>
    </row>
    <row r="12" spans="1:9" s="243" customFormat="1" ht="48" customHeight="1" x14ac:dyDescent="0.2">
      <c r="A12" s="312" t="s">
        <v>134</v>
      </c>
      <c r="B12" s="242"/>
      <c r="C12" s="242"/>
      <c r="D12" s="242"/>
      <c r="E12" s="242"/>
      <c r="F12" s="242"/>
      <c r="G12" s="242"/>
      <c r="H12" s="242"/>
      <c r="I12" s="242"/>
    </row>
    <row r="13" spans="1:9" ht="24" customHeight="1" x14ac:dyDescent="0.2">
      <c r="A13" s="314" t="s">
        <v>109</v>
      </c>
      <c r="B13" s="314"/>
      <c r="C13" s="314"/>
      <c r="D13" s="314"/>
      <c r="E13" s="314"/>
      <c r="F13" s="314"/>
      <c r="G13" s="314"/>
      <c r="H13" s="314"/>
      <c r="I13" s="314"/>
    </row>
    <row r="14" spans="1:9" ht="24" customHeight="1" x14ac:dyDescent="0.2">
      <c r="A14" s="310"/>
      <c r="B14" s="310"/>
      <c r="C14" s="310"/>
      <c r="D14" s="310"/>
      <c r="E14" s="310"/>
      <c r="F14" s="310"/>
      <c r="G14" s="310"/>
      <c r="H14" s="310"/>
      <c r="I14" s="310"/>
    </row>
    <row r="15" spans="1:9" ht="14" customHeight="1" x14ac:dyDescent="0.2"/>
    <row r="22" spans="1:1" ht="21" x14ac:dyDescent="0.25">
      <c r="A22" s="5"/>
    </row>
    <row r="23" spans="1:1" ht="26" x14ac:dyDescent="0.3">
      <c r="A23" s="16"/>
    </row>
  </sheetData>
  <mergeCells count="2">
    <mergeCell ref="A7:I7"/>
    <mergeCell ref="A13:I13"/>
  </mergeCells>
  <hyperlinks>
    <hyperlink ref="A13:I13" location="Menu!A1" display="Go to the Menu tab next." xr:uid="{00000000-0004-0000-0000-000000000000}"/>
    <hyperlink ref="A6" r:id="rId1" display="contact Tremain Hatch, thatch@vt.edu with questions or feedback on this tool.  " xr:uid="{00000000-0004-0000-0000-000001000000}"/>
  </hyperlinks>
  <pageMargins left="0.7" right="0.7" top="0.75" bottom="0.75" header="0.3" footer="0.3"/>
  <pageSetup orientation="portrait"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207"/>
  <sheetViews>
    <sheetView showGridLines="0" topLeftCell="A82" workbookViewId="0">
      <selection activeCell="A69" sqref="A69:C69"/>
    </sheetView>
  </sheetViews>
  <sheetFormatPr baseColWidth="10" defaultColWidth="9.1640625" defaultRowHeight="21" x14ac:dyDescent="0.25"/>
  <cols>
    <col min="1" max="1" width="12.83203125" style="12" customWidth="1"/>
    <col min="2" max="3" width="9" style="9" customWidth="1"/>
    <col min="4" max="4" width="10.1640625" style="9" customWidth="1"/>
    <col min="5" max="5" width="9.33203125" style="9" customWidth="1"/>
    <col min="6" max="6" width="9" style="9" customWidth="1"/>
    <col min="7" max="7" width="9.5" style="9" customWidth="1"/>
    <col min="8" max="18" width="9" style="9" customWidth="1"/>
    <col min="19" max="19" width="21.83203125" style="9" customWidth="1"/>
    <col min="20" max="20" width="9.1640625" style="10"/>
  </cols>
  <sheetData>
    <row r="1" spans="1:20" ht="18" customHeight="1" x14ac:dyDescent="0.2">
      <c r="A1" s="338" t="s">
        <v>304</v>
      </c>
      <c r="B1" s="338"/>
      <c r="C1" s="338"/>
      <c r="D1" s="338"/>
      <c r="E1" s="338"/>
      <c r="F1" s="338"/>
      <c r="G1" s="338"/>
      <c r="H1" s="338"/>
      <c r="I1" s="338"/>
      <c r="J1" s="338"/>
      <c r="K1" s="338"/>
      <c r="L1" s="338"/>
      <c r="M1" s="338"/>
      <c r="N1" s="338"/>
      <c r="O1" s="338"/>
      <c r="P1" s="338"/>
      <c r="Q1" s="338"/>
      <c r="R1" s="338"/>
      <c r="S1" s="338"/>
    </row>
    <row r="2" spans="1:20" s="15" customFormat="1" ht="46.5" customHeight="1" x14ac:dyDescent="0.2">
      <c r="A2" s="339" t="s">
        <v>306</v>
      </c>
      <c r="B2" s="339"/>
      <c r="C2" s="339"/>
      <c r="D2" s="339"/>
      <c r="E2" s="339"/>
      <c r="F2" s="339"/>
      <c r="G2" s="339"/>
      <c r="H2" s="339"/>
      <c r="I2" s="339"/>
      <c r="J2" s="339"/>
      <c r="K2" s="339"/>
      <c r="L2" s="339"/>
      <c r="M2" s="339"/>
      <c r="N2" s="339"/>
      <c r="O2" s="339"/>
      <c r="P2" s="339"/>
      <c r="Q2" s="339"/>
      <c r="R2" s="339"/>
      <c r="S2" s="339"/>
      <c r="T2" s="14"/>
    </row>
    <row r="3" spans="1:20" s="15" customFormat="1" ht="27" customHeight="1" x14ac:dyDescent="0.2">
      <c r="A3" s="340" t="s">
        <v>305</v>
      </c>
      <c r="B3" s="340"/>
      <c r="C3" s="340"/>
      <c r="D3" s="340"/>
      <c r="E3" s="340"/>
      <c r="F3" s="340"/>
      <c r="G3" s="340"/>
      <c r="H3" s="340"/>
      <c r="I3" s="340"/>
      <c r="J3" s="340"/>
      <c r="K3" s="340"/>
      <c r="L3" s="340"/>
      <c r="M3" s="340"/>
      <c r="N3" s="340"/>
      <c r="O3" s="340"/>
      <c r="P3" s="340"/>
      <c r="Q3" s="340"/>
      <c r="R3" s="340"/>
      <c r="S3" s="340"/>
      <c r="T3" s="14"/>
    </row>
    <row r="4" spans="1:20" s="15" customFormat="1" ht="25.5" customHeight="1" x14ac:dyDescent="0.2">
      <c r="A4" s="337" t="s">
        <v>307</v>
      </c>
      <c r="B4" s="337"/>
      <c r="C4" s="337"/>
      <c r="D4" s="337"/>
      <c r="E4" s="337"/>
      <c r="F4" s="337"/>
      <c r="G4" s="337"/>
      <c r="H4" s="337"/>
      <c r="I4" s="337"/>
      <c r="J4" s="337"/>
      <c r="K4" s="337"/>
      <c r="L4" s="337"/>
      <c r="M4" s="337"/>
      <c r="N4" s="337"/>
      <c r="O4" s="337"/>
      <c r="P4" s="337"/>
      <c r="Q4" s="337"/>
      <c r="R4" s="337"/>
      <c r="S4" s="337"/>
      <c r="T4" s="14"/>
    </row>
    <row r="5" spans="1:20" s="15" customFormat="1" ht="89.25" customHeight="1" x14ac:dyDescent="0.2">
      <c r="A5" s="337" t="s">
        <v>368</v>
      </c>
      <c r="B5" s="337"/>
      <c r="C5" s="337"/>
      <c r="D5" s="337"/>
      <c r="E5" s="337"/>
      <c r="F5" s="337"/>
      <c r="G5" s="337"/>
      <c r="H5" s="337"/>
      <c r="I5" s="337"/>
      <c r="J5" s="337"/>
      <c r="K5" s="337"/>
      <c r="L5" s="337"/>
      <c r="M5" s="337"/>
      <c r="N5" s="337"/>
      <c r="O5" s="337"/>
      <c r="P5" s="337"/>
      <c r="Q5" s="337"/>
      <c r="R5" s="337"/>
      <c r="S5" s="337"/>
      <c r="T5" s="14"/>
    </row>
    <row r="6" spans="1:20" s="15" customFormat="1" ht="22.5" customHeight="1" x14ac:dyDescent="0.2">
      <c r="A6" s="337" t="s">
        <v>135</v>
      </c>
      <c r="B6" s="337"/>
      <c r="C6" s="337"/>
      <c r="D6" s="337"/>
      <c r="E6" s="337"/>
      <c r="F6" s="337"/>
      <c r="G6" s="337"/>
      <c r="H6" s="337"/>
      <c r="I6" s="337"/>
      <c r="J6" s="337"/>
      <c r="K6" s="337"/>
      <c r="L6" s="337"/>
      <c r="M6" s="337"/>
      <c r="N6" s="337"/>
      <c r="O6" s="337"/>
      <c r="P6" s="337"/>
      <c r="Q6" s="337"/>
      <c r="R6" s="337"/>
      <c r="S6" s="337"/>
      <c r="T6" s="14"/>
    </row>
    <row r="7" spans="1:20" s="15" customFormat="1" ht="22.5" customHeight="1" x14ac:dyDescent="0.2">
      <c r="A7" s="337" t="s">
        <v>136</v>
      </c>
      <c r="B7" s="337"/>
      <c r="C7" s="337"/>
      <c r="D7" s="337"/>
      <c r="E7" s="337"/>
      <c r="F7" s="337"/>
      <c r="G7" s="337"/>
      <c r="H7" s="337"/>
      <c r="I7" s="337"/>
      <c r="J7" s="337"/>
      <c r="K7" s="337"/>
      <c r="L7" s="337"/>
      <c r="M7" s="337"/>
      <c r="N7" s="337"/>
      <c r="O7" s="337"/>
      <c r="P7" s="337"/>
      <c r="Q7" s="337"/>
      <c r="R7" s="337"/>
      <c r="S7" s="337"/>
      <c r="T7" s="14"/>
    </row>
    <row r="8" spans="1:20" s="15" customFormat="1" ht="24.75" customHeight="1" x14ac:dyDescent="0.2">
      <c r="A8" s="345" t="s">
        <v>308</v>
      </c>
      <c r="B8" s="345"/>
      <c r="C8" s="345"/>
      <c r="D8" s="345"/>
      <c r="E8" s="345"/>
      <c r="F8" s="345"/>
      <c r="G8" s="345"/>
      <c r="H8" s="345"/>
      <c r="I8" s="345"/>
      <c r="J8" s="345"/>
      <c r="K8" s="345"/>
      <c r="L8" s="345"/>
      <c r="M8" s="345"/>
      <c r="N8" s="345"/>
      <c r="O8" s="345"/>
      <c r="P8" s="345"/>
      <c r="Q8" s="345"/>
      <c r="R8" s="345"/>
      <c r="S8" s="345"/>
      <c r="T8" s="14"/>
    </row>
    <row r="9" spans="1:20" s="15" customFormat="1" ht="46.5" customHeight="1" x14ac:dyDescent="0.2">
      <c r="A9" s="346" t="s">
        <v>137</v>
      </c>
      <c r="B9" s="346"/>
      <c r="C9" s="346"/>
      <c r="D9" s="346"/>
      <c r="E9" s="346"/>
      <c r="F9" s="346"/>
      <c r="G9" s="346"/>
      <c r="H9" s="346"/>
      <c r="I9" s="346"/>
      <c r="J9" s="346"/>
      <c r="K9" s="346"/>
      <c r="L9" s="346"/>
      <c r="M9" s="346"/>
      <c r="N9" s="346"/>
      <c r="O9" s="346"/>
      <c r="P9" s="346"/>
      <c r="Q9" s="346"/>
      <c r="R9" s="346"/>
      <c r="S9" s="346"/>
      <c r="T9" s="14"/>
    </row>
    <row r="10" spans="1:20" s="13" customFormat="1" ht="24.75" customHeight="1" x14ac:dyDescent="0.2">
      <c r="A10" s="341" t="s">
        <v>123</v>
      </c>
      <c r="B10" s="341"/>
      <c r="C10" s="341"/>
      <c r="D10" s="341"/>
      <c r="E10" s="341"/>
      <c r="F10" s="341"/>
      <c r="G10" s="341"/>
      <c r="H10" s="341"/>
      <c r="I10" s="341"/>
      <c r="J10" s="341"/>
      <c r="K10" s="341"/>
      <c r="L10" s="341"/>
      <c r="M10" s="341"/>
      <c r="N10" s="341"/>
      <c r="O10" s="341"/>
      <c r="P10" s="341"/>
      <c r="Q10" s="341"/>
      <c r="R10" s="341"/>
      <c r="S10" s="341"/>
      <c r="T10" s="18"/>
    </row>
    <row r="11" spans="1:20" x14ac:dyDescent="0.25">
      <c r="A11" s="11"/>
    </row>
    <row r="12" spans="1:20" ht="37.5" customHeight="1" x14ac:dyDescent="0.25">
      <c r="A12" s="342" t="s">
        <v>138</v>
      </c>
      <c r="B12" s="342"/>
      <c r="C12" s="342"/>
      <c r="D12" s="342"/>
      <c r="E12" s="342"/>
      <c r="F12" s="342"/>
      <c r="G12" s="342"/>
      <c r="H12" s="342"/>
      <c r="I12" s="342"/>
      <c r="J12" s="342"/>
      <c r="K12" s="342"/>
      <c r="L12" s="342"/>
      <c r="M12" s="342"/>
      <c r="N12" s="342"/>
      <c r="O12" s="342"/>
    </row>
    <row r="13" spans="1:20" ht="37.5" customHeight="1" x14ac:dyDescent="0.2">
      <c r="A13" s="342" t="s">
        <v>309</v>
      </c>
      <c r="B13" s="342"/>
      <c r="C13" s="342"/>
      <c r="D13" s="342"/>
      <c r="E13" s="342"/>
      <c r="F13" s="342"/>
      <c r="G13" s="342"/>
      <c r="H13" s="342"/>
      <c r="I13" s="342"/>
      <c r="J13" s="342"/>
      <c r="K13" s="342"/>
      <c r="L13" s="342"/>
      <c r="M13" s="342"/>
      <c r="N13" s="342"/>
      <c r="O13" s="342"/>
      <c r="P13" s="342"/>
      <c r="Q13" s="342"/>
      <c r="R13" s="342"/>
      <c r="S13" s="342"/>
    </row>
    <row r="14" spans="1:20" ht="18" customHeight="1" x14ac:dyDescent="0.2">
      <c r="A14"/>
      <c r="B14" s="177" t="s">
        <v>296</v>
      </c>
      <c r="C14" s="174"/>
      <c r="D14" s="174"/>
      <c r="E14" s="174"/>
      <c r="F14" s="174"/>
      <c r="G14" s="174"/>
      <c r="H14" s="174"/>
      <c r="I14" s="174"/>
      <c r="J14" s="174"/>
      <c r="K14" s="174"/>
      <c r="L14" s="174"/>
      <c r="M14" s="174"/>
      <c r="N14" s="174"/>
      <c r="O14" s="174"/>
      <c r="P14" s="174"/>
      <c r="Q14" s="174"/>
      <c r="R14" s="174"/>
      <c r="S14" s="174"/>
    </row>
    <row r="15" spans="1:20" ht="20.25" customHeight="1" x14ac:dyDescent="0.2">
      <c r="A15" s="174"/>
      <c r="B15" s="177" t="s">
        <v>364</v>
      </c>
      <c r="C15" s="174"/>
      <c r="D15" s="174"/>
      <c r="E15" s="174"/>
      <c r="F15" s="174"/>
      <c r="G15" s="174"/>
      <c r="H15" s="174"/>
      <c r="I15" s="174"/>
      <c r="J15" s="174"/>
      <c r="K15" s="174"/>
      <c r="L15" s="174"/>
      <c r="M15" s="174"/>
      <c r="N15" s="174"/>
      <c r="O15" s="174"/>
      <c r="P15" s="174"/>
      <c r="Q15" s="174"/>
      <c r="R15" s="174"/>
      <c r="S15" s="174"/>
    </row>
    <row r="16" spans="1:20" s="247" customFormat="1" ht="20.25" customHeight="1" x14ac:dyDescent="0.2">
      <c r="A16" s="348" t="s">
        <v>110</v>
      </c>
      <c r="B16" s="348"/>
      <c r="C16" s="348"/>
      <c r="D16" s="246"/>
      <c r="E16" s="246"/>
      <c r="F16" s="246"/>
      <c r="G16" s="246"/>
      <c r="H16" s="246"/>
      <c r="I16" s="246"/>
    </row>
    <row r="17" spans="1:11" s="247" customFormat="1" ht="20.25" customHeight="1" x14ac:dyDescent="0.2">
      <c r="A17" s="348" t="s">
        <v>120</v>
      </c>
      <c r="B17" s="348"/>
      <c r="C17" s="348"/>
      <c r="D17" s="348"/>
      <c r="E17" s="348"/>
      <c r="F17" s="246"/>
      <c r="G17" s="246"/>
      <c r="H17" s="246"/>
      <c r="I17" s="246"/>
    </row>
    <row r="18" spans="1:11" s="247" customFormat="1" ht="20.25" customHeight="1" x14ac:dyDescent="0.2">
      <c r="A18" s="348" t="s">
        <v>139</v>
      </c>
      <c r="B18" s="348"/>
      <c r="C18" s="348"/>
      <c r="D18" s="348"/>
      <c r="E18" s="348"/>
      <c r="F18" s="348"/>
      <c r="G18" s="246"/>
      <c r="H18" s="246"/>
      <c r="I18" s="246"/>
    </row>
    <row r="19" spans="1:11" s="247" customFormat="1" ht="20.25" customHeight="1" x14ac:dyDescent="0.2">
      <c r="A19" s="348" t="s">
        <v>140</v>
      </c>
      <c r="B19" s="348"/>
      <c r="C19" s="348"/>
      <c r="D19" s="348"/>
      <c r="E19" s="246"/>
      <c r="F19" s="246"/>
      <c r="G19" s="246"/>
      <c r="H19" s="246"/>
      <c r="I19" s="246"/>
    </row>
    <row r="20" spans="1:11" s="247" customFormat="1" ht="20.25" customHeight="1" x14ac:dyDescent="0.2">
      <c r="A20" s="247" t="s">
        <v>310</v>
      </c>
      <c r="E20" s="246"/>
      <c r="F20" s="246"/>
      <c r="G20" s="246"/>
      <c r="H20" s="246"/>
      <c r="I20" s="246"/>
    </row>
    <row r="21" spans="1:11" s="247" customFormat="1" ht="20.25" customHeight="1" x14ac:dyDescent="0.2">
      <c r="A21" s="348" t="s">
        <v>73</v>
      </c>
      <c r="B21" s="348"/>
      <c r="C21" s="348"/>
      <c r="D21" s="348"/>
      <c r="G21" s="246"/>
      <c r="H21" s="246"/>
      <c r="I21" s="246"/>
    </row>
    <row r="22" spans="1:11" s="247" customFormat="1" ht="20.25" customHeight="1" x14ac:dyDescent="0.2">
      <c r="A22" s="348" t="s">
        <v>311</v>
      </c>
      <c r="B22" s="348"/>
      <c r="C22" s="348"/>
      <c r="D22" s="348"/>
      <c r="E22" s="348"/>
      <c r="F22" s="348"/>
      <c r="G22" s="246"/>
      <c r="H22" s="246"/>
      <c r="I22" s="246"/>
    </row>
    <row r="23" spans="1:11" s="247" customFormat="1" ht="20.25" customHeight="1" x14ac:dyDescent="0.2">
      <c r="A23" s="348" t="s">
        <v>111</v>
      </c>
      <c r="B23" s="348"/>
      <c r="C23" s="348"/>
      <c r="D23" s="348"/>
    </row>
    <row r="24" spans="1:11" s="247" customFormat="1" ht="20.25" customHeight="1" x14ac:dyDescent="0.2">
      <c r="A24" s="248" t="s">
        <v>57</v>
      </c>
      <c r="B24" s="249"/>
      <c r="C24" s="249"/>
      <c r="D24" s="249"/>
    </row>
    <row r="25" spans="1:11" s="247" customFormat="1" ht="20.25" customHeight="1" x14ac:dyDescent="0.2">
      <c r="A25" s="248" t="s">
        <v>141</v>
      </c>
      <c r="B25" s="249"/>
      <c r="C25" s="249"/>
      <c r="D25" s="249"/>
    </row>
    <row r="26" spans="1:11" s="247" customFormat="1" ht="20.25" customHeight="1" x14ac:dyDescent="0.2">
      <c r="A26" s="350" t="s">
        <v>112</v>
      </c>
      <c r="B26" s="350"/>
      <c r="C26" s="350"/>
      <c r="D26" s="350"/>
    </row>
    <row r="27" spans="1:11" s="247" customFormat="1" ht="20.25" customHeight="1" x14ac:dyDescent="0.2">
      <c r="A27" s="250" t="s">
        <v>80</v>
      </c>
      <c r="B27" s="251"/>
      <c r="C27" s="251"/>
      <c r="D27" s="251"/>
    </row>
    <row r="28" spans="1:11" s="247" customFormat="1" ht="20.25" customHeight="1" x14ac:dyDescent="0.2">
      <c r="A28" s="251" t="s">
        <v>142</v>
      </c>
      <c r="B28" s="252"/>
      <c r="C28" s="252"/>
      <c r="D28" s="252"/>
    </row>
    <row r="29" spans="1:11" s="253" customFormat="1" ht="20.25" customHeight="1" x14ac:dyDescent="0.2">
      <c r="A29" s="350" t="s">
        <v>113</v>
      </c>
      <c r="B29" s="350"/>
      <c r="C29" s="350"/>
      <c r="D29" s="350"/>
    </row>
    <row r="30" spans="1:11" s="253" customFormat="1" ht="20.25" customHeight="1" x14ac:dyDescent="0.2">
      <c r="A30" s="253" t="s">
        <v>114</v>
      </c>
    </row>
    <row r="31" spans="1:11" s="254" customFormat="1" ht="20.25" customHeight="1" x14ac:dyDescent="0.2">
      <c r="A31" s="254" t="s">
        <v>358</v>
      </c>
    </row>
    <row r="32" spans="1:11" ht="43.5" customHeight="1" x14ac:dyDescent="0.25">
      <c r="A32" s="349" t="s">
        <v>115</v>
      </c>
      <c r="B32" s="349"/>
      <c r="C32" s="349"/>
      <c r="D32" s="349"/>
      <c r="E32" s="349"/>
      <c r="F32" s="349"/>
      <c r="G32" s="349"/>
      <c r="H32" s="349"/>
      <c r="I32" s="349"/>
      <c r="J32" s="349"/>
      <c r="K32" s="349"/>
    </row>
    <row r="33" spans="1:19" s="257" customFormat="1" ht="16" x14ac:dyDescent="0.2">
      <c r="A33" s="255"/>
      <c r="B33" s="256"/>
      <c r="C33" s="256"/>
    </row>
    <row r="34" spans="1:19" s="257" customFormat="1" ht="6" customHeight="1" x14ac:dyDescent="0.2"/>
    <row r="35" spans="1:19" s="257" customFormat="1" ht="6" customHeight="1" x14ac:dyDescent="0.2"/>
    <row r="36" spans="1:19" s="257" customFormat="1" ht="6" customHeight="1" x14ac:dyDescent="0.2">
      <c r="A36" s="255"/>
      <c r="B36" s="256"/>
      <c r="C36" s="256"/>
    </row>
    <row r="37" spans="1:19" s="257" customFormat="1" ht="6" customHeight="1" x14ac:dyDescent="0.2">
      <c r="A37" s="255"/>
      <c r="B37" s="256"/>
      <c r="C37" s="256"/>
    </row>
    <row r="38" spans="1:19" s="257" customFormat="1" ht="6" customHeight="1" x14ac:dyDescent="0.2">
      <c r="A38" s="255"/>
      <c r="B38" s="256"/>
      <c r="C38" s="256"/>
    </row>
    <row r="39" spans="1:19" s="257" customFormat="1" ht="6" customHeight="1" x14ac:dyDescent="0.2">
      <c r="A39" s="258"/>
    </row>
    <row r="40" spans="1:19" s="257" customFormat="1" ht="6" customHeight="1" x14ac:dyDescent="0.2">
      <c r="A40" s="258"/>
    </row>
    <row r="41" spans="1:19" s="257" customFormat="1" ht="6" customHeight="1" x14ac:dyDescent="0.2">
      <c r="A41" s="258"/>
    </row>
    <row r="42" spans="1:19" s="257" customFormat="1" ht="6" customHeight="1" x14ac:dyDescent="0.2">
      <c r="A42" s="258"/>
    </row>
    <row r="43" spans="1:19" s="257" customFormat="1" ht="6" customHeight="1" x14ac:dyDescent="0.2">
      <c r="A43" s="258"/>
    </row>
    <row r="44" spans="1:19" s="257" customFormat="1" ht="6" customHeight="1" x14ac:dyDescent="0.2">
      <c r="A44" s="258"/>
    </row>
    <row r="45" spans="1:19" s="257" customFormat="1" ht="6" customHeight="1" x14ac:dyDescent="0.2">
      <c r="A45" s="259"/>
    </row>
    <row r="46" spans="1:19" s="257" customFormat="1" ht="6" customHeight="1" x14ac:dyDescent="0.2">
      <c r="A46" s="344"/>
      <c r="B46" s="344"/>
      <c r="C46" s="344"/>
      <c r="D46" s="344"/>
      <c r="E46" s="344"/>
      <c r="F46" s="344"/>
      <c r="G46" s="344"/>
      <c r="H46" s="344"/>
      <c r="I46" s="344"/>
      <c r="J46" s="344"/>
      <c r="K46" s="344"/>
      <c r="L46" s="344"/>
      <c r="M46" s="344"/>
      <c r="N46" s="344"/>
      <c r="O46" s="344"/>
      <c r="P46" s="344"/>
      <c r="Q46" s="344"/>
      <c r="R46" s="344"/>
      <c r="S46" s="260"/>
    </row>
    <row r="47" spans="1:19" s="257" customFormat="1" ht="6" customHeight="1" x14ac:dyDescent="0.2">
      <c r="A47" s="344"/>
      <c r="B47" s="344"/>
      <c r="C47" s="344"/>
      <c r="D47" s="344"/>
      <c r="E47" s="344"/>
      <c r="F47" s="344"/>
      <c r="G47" s="344"/>
      <c r="H47" s="344"/>
      <c r="I47" s="344"/>
      <c r="J47" s="344"/>
      <c r="K47" s="344"/>
      <c r="L47" s="344"/>
      <c r="M47" s="344"/>
      <c r="N47" s="344"/>
      <c r="O47" s="344"/>
      <c r="P47" s="344"/>
      <c r="Q47" s="344"/>
      <c r="R47" s="344"/>
      <c r="S47" s="344"/>
    </row>
    <row r="48" spans="1:19" s="23" customFormat="1" ht="20" x14ac:dyDescent="0.2">
      <c r="A48" s="344"/>
      <c r="B48" s="344"/>
      <c r="C48" s="344"/>
      <c r="D48" s="344"/>
      <c r="E48" s="344"/>
      <c r="F48" s="344"/>
      <c r="G48" s="344"/>
      <c r="H48" s="344"/>
      <c r="I48" s="344"/>
      <c r="J48" s="344"/>
      <c r="K48" s="344"/>
      <c r="L48" s="344"/>
      <c r="M48" s="344"/>
      <c r="N48" s="344"/>
      <c r="O48" s="344"/>
      <c r="P48" s="344"/>
      <c r="Q48" s="344"/>
      <c r="R48" s="344"/>
      <c r="S48" s="344"/>
    </row>
    <row r="49" spans="1:19" s="21" customFormat="1" ht="24" customHeight="1" x14ac:dyDescent="0.2">
      <c r="A49" s="333" t="s">
        <v>110</v>
      </c>
      <c r="B49" s="333"/>
      <c r="C49" s="333"/>
      <c r="D49" s="333"/>
      <c r="E49" s="333"/>
      <c r="F49" s="333"/>
      <c r="G49" s="333"/>
      <c r="H49" s="333"/>
      <c r="I49" s="19"/>
      <c r="J49" s="19"/>
      <c r="K49" s="19"/>
      <c r="L49" s="19"/>
      <c r="M49" s="19"/>
      <c r="N49" s="19"/>
      <c r="O49" s="19"/>
      <c r="P49" s="19"/>
      <c r="Q49" s="19"/>
      <c r="R49" s="19"/>
      <c r="S49" s="19"/>
    </row>
    <row r="50" spans="1:19" s="23" customFormat="1" ht="44.25" customHeight="1" x14ac:dyDescent="0.2">
      <c r="A50" s="331" t="s">
        <v>313</v>
      </c>
      <c r="B50" s="331"/>
      <c r="C50" s="331"/>
      <c r="D50" s="331"/>
      <c r="E50" s="331"/>
      <c r="F50" s="331"/>
      <c r="G50" s="331"/>
      <c r="H50" s="331"/>
      <c r="I50" s="331"/>
      <c r="J50" s="331"/>
      <c r="K50" s="331"/>
      <c r="L50" s="331"/>
      <c r="M50" s="331"/>
      <c r="N50" s="331"/>
      <c r="O50" s="331"/>
      <c r="P50" s="331"/>
      <c r="Q50" s="331"/>
      <c r="R50" s="331"/>
      <c r="S50" s="331"/>
    </row>
    <row r="51" spans="1:19" s="23" customFormat="1" ht="63" customHeight="1" x14ac:dyDescent="0.2">
      <c r="A51" s="331" t="s">
        <v>314</v>
      </c>
      <c r="B51" s="331"/>
      <c r="C51" s="331"/>
      <c r="D51" s="331"/>
      <c r="E51" s="331"/>
      <c r="F51" s="331"/>
      <c r="G51" s="331"/>
      <c r="H51" s="331"/>
      <c r="I51" s="331"/>
      <c r="J51" s="331"/>
      <c r="K51" s="331"/>
      <c r="L51" s="331"/>
      <c r="M51" s="331"/>
      <c r="N51" s="331"/>
      <c r="O51" s="331"/>
      <c r="P51" s="331"/>
      <c r="Q51" s="331"/>
      <c r="R51" s="331"/>
      <c r="S51" s="331"/>
    </row>
    <row r="52" spans="1:19" s="23" customFormat="1" ht="40.5" customHeight="1" x14ac:dyDescent="0.2">
      <c r="A52" s="331" t="s">
        <v>315</v>
      </c>
      <c r="B52" s="331"/>
      <c r="C52" s="331"/>
      <c r="D52" s="331"/>
      <c r="E52" s="331"/>
      <c r="F52" s="331"/>
      <c r="G52" s="331"/>
      <c r="H52" s="331"/>
      <c r="I52" s="331"/>
      <c r="J52" s="331"/>
      <c r="K52" s="331"/>
      <c r="L52" s="331"/>
      <c r="M52" s="331"/>
      <c r="N52" s="331"/>
      <c r="O52" s="331"/>
      <c r="P52" s="331"/>
      <c r="Q52" s="331"/>
      <c r="R52" s="331"/>
      <c r="S52" s="331"/>
    </row>
    <row r="53" spans="1:19" s="23" customFormat="1" ht="65.25" customHeight="1" x14ac:dyDescent="0.2">
      <c r="A53" s="331" t="s">
        <v>316</v>
      </c>
      <c r="B53" s="331"/>
      <c r="C53" s="331"/>
      <c r="D53" s="331"/>
      <c r="E53" s="331"/>
      <c r="F53" s="331"/>
      <c r="G53" s="331"/>
      <c r="H53" s="331"/>
      <c r="I53" s="331"/>
      <c r="J53" s="331"/>
      <c r="K53" s="331"/>
      <c r="L53" s="331"/>
      <c r="M53" s="331"/>
      <c r="N53" s="331"/>
      <c r="O53" s="331"/>
      <c r="P53" s="331"/>
      <c r="Q53" s="331"/>
      <c r="R53" s="331"/>
      <c r="S53" s="331"/>
    </row>
    <row r="54" spans="1:19" s="23" customFormat="1" ht="52.5" customHeight="1" x14ac:dyDescent="0.2">
      <c r="A54" s="218"/>
      <c r="B54" s="20"/>
      <c r="C54" s="20"/>
      <c r="D54" s="20"/>
      <c r="E54" s="20"/>
      <c r="F54" s="20"/>
      <c r="G54" s="20"/>
      <c r="H54" s="20"/>
      <c r="I54" s="20"/>
      <c r="J54" s="20"/>
      <c r="K54" s="20"/>
      <c r="L54" s="20"/>
      <c r="M54" s="20"/>
      <c r="N54" s="20"/>
      <c r="O54" s="20"/>
      <c r="P54" s="20"/>
      <c r="Q54" s="20"/>
      <c r="R54" s="20"/>
      <c r="S54" s="20"/>
    </row>
    <row r="55" spans="1:19" s="21" customFormat="1" ht="47.25" customHeight="1" x14ac:dyDescent="0.2">
      <c r="A55" s="333" t="s">
        <v>143</v>
      </c>
      <c r="B55" s="333"/>
      <c r="C55" s="333"/>
      <c r="D55" s="333"/>
      <c r="E55" s="333"/>
      <c r="F55" s="333"/>
      <c r="G55" s="333"/>
      <c r="H55" s="333"/>
      <c r="I55" s="333"/>
      <c r="J55" s="333"/>
      <c r="K55" s="333"/>
      <c r="L55" s="333"/>
      <c r="M55" s="333"/>
      <c r="N55" s="333"/>
      <c r="O55" s="333"/>
      <c r="P55" s="333"/>
      <c r="Q55" s="333"/>
      <c r="R55" s="333"/>
      <c r="S55" s="333"/>
    </row>
    <row r="56" spans="1:19" s="23" customFormat="1" ht="123" customHeight="1" x14ac:dyDescent="0.2">
      <c r="A56" s="331" t="s">
        <v>144</v>
      </c>
      <c r="B56" s="331"/>
      <c r="C56" s="331"/>
      <c r="D56" s="331"/>
      <c r="E56" s="331"/>
      <c r="F56" s="331"/>
      <c r="G56" s="331"/>
      <c r="H56" s="331"/>
      <c r="I56" s="331"/>
      <c r="J56" s="331"/>
      <c r="K56" s="331"/>
      <c r="L56" s="331"/>
      <c r="M56" s="331"/>
      <c r="N56" s="331"/>
      <c r="O56" s="331"/>
      <c r="P56" s="331"/>
      <c r="Q56" s="331"/>
      <c r="R56" s="331"/>
      <c r="S56" s="331"/>
    </row>
    <row r="57" spans="1:19" s="21" customFormat="1" ht="19.5" customHeight="1" x14ac:dyDescent="0.2">
      <c r="A57" s="336" t="s">
        <v>317</v>
      </c>
      <c r="B57" s="336"/>
      <c r="C57" s="336"/>
      <c r="D57" s="336"/>
      <c r="E57" s="336"/>
      <c r="F57" s="336"/>
      <c r="G57" s="336"/>
      <c r="H57" s="336"/>
      <c r="I57" s="336"/>
      <c r="J57" s="336"/>
      <c r="K57" s="336"/>
      <c r="L57" s="336"/>
      <c r="M57" s="336"/>
      <c r="N57" s="336"/>
      <c r="O57" s="336"/>
      <c r="P57" s="336"/>
      <c r="Q57" s="336"/>
      <c r="R57" s="336"/>
      <c r="S57" s="336"/>
    </row>
    <row r="58" spans="1:19" s="23" customFormat="1" ht="188.25" customHeight="1" x14ac:dyDescent="0.2">
      <c r="A58" s="331" t="s">
        <v>318</v>
      </c>
      <c r="B58" s="331"/>
      <c r="C58" s="331"/>
      <c r="D58" s="331"/>
      <c r="E58" s="331"/>
      <c r="F58" s="331"/>
      <c r="G58" s="331"/>
      <c r="H58" s="331"/>
      <c r="I58" s="331"/>
      <c r="J58" s="331"/>
      <c r="K58" s="331"/>
      <c r="L58" s="331"/>
      <c r="M58" s="331"/>
      <c r="N58" s="331"/>
      <c r="O58" s="331"/>
      <c r="P58" s="331"/>
      <c r="Q58" s="331"/>
      <c r="R58" s="331"/>
      <c r="S58" s="331"/>
    </row>
    <row r="59" spans="1:19" s="23" customFormat="1" ht="49.5" customHeight="1" x14ac:dyDescent="0.2">
      <c r="A59" s="331" t="s">
        <v>319</v>
      </c>
      <c r="B59" s="331"/>
      <c r="C59" s="331"/>
      <c r="D59" s="331"/>
      <c r="E59" s="331"/>
      <c r="F59" s="331"/>
      <c r="G59" s="331"/>
      <c r="H59" s="331"/>
      <c r="I59" s="331"/>
      <c r="J59" s="331"/>
      <c r="K59" s="331"/>
      <c r="L59" s="331"/>
      <c r="M59" s="331"/>
      <c r="N59" s="331"/>
      <c r="O59" s="331"/>
      <c r="P59" s="331"/>
      <c r="Q59" s="331"/>
      <c r="R59" s="331"/>
      <c r="S59" s="331"/>
    </row>
    <row r="60" spans="1:19" s="21" customFormat="1" ht="65.25" customHeight="1" x14ac:dyDescent="0.2">
      <c r="A60" s="347" t="s">
        <v>140</v>
      </c>
      <c r="B60" s="347"/>
      <c r="C60" s="347"/>
      <c r="D60" s="347"/>
      <c r="E60" s="347"/>
    </row>
    <row r="61" spans="1:19" s="23" customFormat="1" ht="97.5" customHeight="1" x14ac:dyDescent="0.2">
      <c r="A61" s="330" t="s">
        <v>365</v>
      </c>
      <c r="B61" s="330"/>
      <c r="C61" s="330"/>
      <c r="D61" s="330"/>
      <c r="E61" s="330"/>
      <c r="F61" s="330"/>
      <c r="G61" s="330"/>
      <c r="H61" s="330"/>
      <c r="I61" s="330"/>
      <c r="J61" s="330"/>
      <c r="K61" s="330"/>
      <c r="L61" s="330"/>
      <c r="M61" s="330"/>
      <c r="N61" s="330"/>
      <c r="O61" s="330"/>
      <c r="P61" s="330"/>
      <c r="Q61" s="330"/>
      <c r="R61" s="330"/>
      <c r="S61" s="330"/>
    </row>
    <row r="62" spans="1:19" s="21" customFormat="1" ht="54.75" customHeight="1" x14ac:dyDescent="0.2">
      <c r="A62" s="333" t="s">
        <v>310</v>
      </c>
      <c r="B62" s="333"/>
      <c r="C62" s="333"/>
      <c r="D62" s="333"/>
      <c r="E62" s="333"/>
      <c r="F62" s="333"/>
      <c r="G62" s="333"/>
      <c r="H62" s="333"/>
      <c r="I62" s="333"/>
      <c r="J62" s="221"/>
      <c r="K62" s="221"/>
      <c r="L62" s="221"/>
      <c r="M62" s="221"/>
      <c r="N62" s="221"/>
      <c r="O62" s="221"/>
      <c r="P62" s="221"/>
      <c r="Q62" s="221"/>
      <c r="R62" s="221"/>
      <c r="S62" s="221"/>
    </row>
    <row r="63" spans="1:19" s="23" customFormat="1" ht="39" customHeight="1" x14ac:dyDescent="0.2">
      <c r="A63" s="334" t="s">
        <v>145</v>
      </c>
      <c r="B63" s="334"/>
      <c r="C63" s="334"/>
      <c r="D63" s="334"/>
      <c r="E63" s="334"/>
      <c r="F63" s="334"/>
      <c r="G63" s="334"/>
      <c r="H63" s="334"/>
      <c r="I63" s="334"/>
      <c r="J63" s="334"/>
      <c r="K63" s="334"/>
      <c r="L63" s="334"/>
      <c r="M63" s="334"/>
      <c r="N63" s="334"/>
      <c r="O63" s="334"/>
      <c r="P63" s="334"/>
      <c r="Q63" s="334"/>
      <c r="R63" s="334"/>
      <c r="S63" s="334"/>
    </row>
    <row r="64" spans="1:19" s="21" customFormat="1" ht="42.75" customHeight="1" x14ac:dyDescent="0.2">
      <c r="A64" s="333" t="s">
        <v>73</v>
      </c>
      <c r="B64" s="333"/>
      <c r="C64" s="333"/>
      <c r="D64" s="333"/>
      <c r="E64" s="333"/>
      <c r="F64" s="333"/>
      <c r="G64" s="333"/>
      <c r="H64" s="333"/>
      <c r="I64" s="333"/>
      <c r="J64" s="333"/>
      <c r="K64" s="333"/>
      <c r="L64" s="333"/>
      <c r="M64" s="333"/>
      <c r="N64" s="333"/>
      <c r="O64" s="333"/>
      <c r="P64" s="333"/>
      <c r="Q64" s="333"/>
      <c r="R64" s="333"/>
      <c r="S64" s="333"/>
    </row>
    <row r="65" spans="1:19" s="23" customFormat="1" ht="42" hidden="1" x14ac:dyDescent="0.2">
      <c r="A65" s="218" t="s">
        <v>11</v>
      </c>
      <c r="B65" s="20"/>
      <c r="C65" s="20"/>
      <c r="D65" s="20"/>
      <c r="E65" s="20"/>
      <c r="F65" s="20"/>
      <c r="G65" s="20"/>
      <c r="H65" s="20"/>
      <c r="I65" s="20"/>
      <c r="J65" s="20"/>
      <c r="K65" s="20"/>
      <c r="L65" s="20"/>
      <c r="M65" s="20"/>
      <c r="N65" s="20"/>
      <c r="O65" s="20"/>
      <c r="P65" s="20"/>
      <c r="Q65" s="20"/>
      <c r="R65" s="20"/>
      <c r="S65" s="20"/>
    </row>
    <row r="66" spans="1:19" s="23" customFormat="1" ht="409.6" hidden="1" x14ac:dyDescent="0.2">
      <c r="A66" s="218" t="s">
        <v>12</v>
      </c>
      <c r="B66" s="20"/>
      <c r="C66" s="20"/>
      <c r="D66" s="20"/>
      <c r="E66" s="20"/>
      <c r="F66" s="20"/>
      <c r="G66" s="20"/>
      <c r="H66" s="20"/>
      <c r="I66" s="20"/>
      <c r="J66" s="20"/>
      <c r="K66" s="20"/>
      <c r="L66" s="20"/>
      <c r="M66" s="20"/>
      <c r="N66" s="20"/>
      <c r="O66" s="20"/>
      <c r="P66" s="20"/>
      <c r="Q66" s="20"/>
      <c r="R66" s="20"/>
      <c r="S66" s="20"/>
    </row>
    <row r="67" spans="1:19" s="23" customFormat="1" hidden="1" x14ac:dyDescent="0.2">
      <c r="A67" s="218" t="s">
        <v>13</v>
      </c>
      <c r="B67" s="20"/>
      <c r="C67" s="20"/>
      <c r="D67" s="20"/>
      <c r="E67" s="20"/>
      <c r="F67" s="20"/>
      <c r="G67" s="20"/>
      <c r="H67" s="20"/>
      <c r="I67" s="20"/>
      <c r="J67" s="20"/>
      <c r="K67" s="20"/>
      <c r="L67" s="20"/>
      <c r="M67" s="20"/>
      <c r="N67" s="20"/>
      <c r="O67" s="20"/>
      <c r="P67" s="20"/>
      <c r="Q67" s="20"/>
      <c r="R67" s="20"/>
      <c r="S67" s="20"/>
    </row>
    <row r="68" spans="1:19" s="23" customFormat="1" ht="114.75" customHeight="1" x14ac:dyDescent="0.2">
      <c r="A68" s="331" t="s">
        <v>359</v>
      </c>
      <c r="B68" s="331"/>
      <c r="C68" s="331"/>
      <c r="D68" s="331"/>
      <c r="E68" s="331"/>
      <c r="F68" s="331"/>
      <c r="G68" s="331"/>
      <c r="H68" s="331"/>
      <c r="I68" s="331"/>
      <c r="J68" s="331"/>
      <c r="K68" s="331"/>
      <c r="L68" s="331"/>
      <c r="M68" s="331"/>
      <c r="N68" s="331"/>
      <c r="O68" s="331"/>
      <c r="P68" s="331"/>
      <c r="Q68" s="331"/>
      <c r="R68" s="331"/>
      <c r="S68" s="331"/>
    </row>
    <row r="69" spans="1:19" s="21" customFormat="1" ht="40.5" customHeight="1" x14ac:dyDescent="0.2">
      <c r="A69" s="333" t="s">
        <v>357</v>
      </c>
      <c r="B69" s="333"/>
      <c r="C69" s="333"/>
      <c r="D69" s="19"/>
      <c r="E69" s="19"/>
      <c r="F69" s="19"/>
      <c r="G69" s="19"/>
      <c r="H69" s="19"/>
      <c r="I69" s="19"/>
      <c r="J69" s="19"/>
      <c r="K69" s="19"/>
      <c r="L69" s="19"/>
      <c r="M69" s="19"/>
      <c r="N69" s="19"/>
      <c r="O69" s="19"/>
      <c r="P69" s="19"/>
      <c r="Q69" s="19"/>
      <c r="R69" s="19"/>
      <c r="S69" s="19"/>
    </row>
    <row r="70" spans="1:19" s="23" customFormat="1" ht="77.25" customHeight="1" x14ac:dyDescent="0.2">
      <c r="A70" s="331" t="s">
        <v>146</v>
      </c>
      <c r="B70" s="331"/>
      <c r="C70" s="331"/>
      <c r="D70" s="331"/>
      <c r="E70" s="331"/>
      <c r="F70" s="331"/>
      <c r="G70" s="331"/>
      <c r="H70" s="331"/>
      <c r="I70" s="331"/>
      <c r="J70" s="331"/>
      <c r="K70" s="331"/>
      <c r="L70" s="331"/>
      <c r="M70" s="331"/>
      <c r="N70" s="331"/>
      <c r="O70" s="331"/>
      <c r="P70" s="331"/>
      <c r="Q70" s="331"/>
      <c r="R70" s="331"/>
      <c r="S70" s="331"/>
    </row>
    <row r="71" spans="1:19" s="21" customFormat="1" ht="40.5" customHeight="1" x14ac:dyDescent="0.2">
      <c r="A71" s="333" t="s">
        <v>147</v>
      </c>
      <c r="B71" s="333"/>
      <c r="C71" s="333"/>
      <c r="D71" s="333"/>
      <c r="E71" s="333"/>
      <c r="F71" s="333"/>
      <c r="G71" s="333"/>
      <c r="H71" s="333"/>
      <c r="I71" s="333"/>
      <c r="J71" s="333"/>
      <c r="K71" s="333"/>
      <c r="L71" s="333"/>
      <c r="M71" s="333"/>
      <c r="N71" s="333"/>
      <c r="O71" s="333"/>
      <c r="P71" s="333"/>
      <c r="Q71" s="333"/>
      <c r="R71" s="333"/>
      <c r="S71" s="333"/>
    </row>
    <row r="72" spans="1:19" s="23" customFormat="1" ht="96.75" customHeight="1" x14ac:dyDescent="0.2">
      <c r="A72" s="331" t="s">
        <v>360</v>
      </c>
      <c r="B72" s="331"/>
      <c r="C72" s="331"/>
      <c r="D72" s="331"/>
      <c r="E72" s="331"/>
      <c r="F72" s="331"/>
      <c r="G72" s="331"/>
      <c r="H72" s="331"/>
      <c r="I72" s="331"/>
      <c r="J72" s="331"/>
      <c r="K72" s="331"/>
      <c r="L72" s="331"/>
      <c r="M72" s="331"/>
      <c r="N72" s="331"/>
      <c r="O72" s="331"/>
      <c r="P72" s="331"/>
      <c r="Q72" s="331"/>
      <c r="R72" s="331"/>
      <c r="S72" s="331"/>
    </row>
    <row r="73" spans="1:19" s="21" customFormat="1" ht="88.5" customHeight="1" x14ac:dyDescent="0.2">
      <c r="A73" s="347" t="s">
        <v>57</v>
      </c>
      <c r="B73" s="347"/>
      <c r="C73" s="347"/>
    </row>
    <row r="74" spans="1:19" s="23" customFormat="1" ht="70.5" customHeight="1" x14ac:dyDescent="0.2">
      <c r="A74" s="335" t="s">
        <v>148</v>
      </c>
      <c r="B74" s="335"/>
      <c r="C74" s="335"/>
      <c r="D74" s="335"/>
      <c r="E74" s="335"/>
      <c r="F74" s="335"/>
      <c r="G74" s="335"/>
      <c r="H74" s="335"/>
      <c r="I74" s="335"/>
      <c r="J74" s="335"/>
      <c r="K74" s="335"/>
      <c r="L74" s="335"/>
      <c r="M74" s="335"/>
      <c r="N74" s="335"/>
      <c r="O74" s="335"/>
      <c r="P74" s="335"/>
      <c r="Q74" s="335"/>
      <c r="R74" s="335"/>
      <c r="S74" s="335"/>
    </row>
    <row r="75" spans="1:19" s="309" customFormat="1" ht="88.5" customHeight="1" x14ac:dyDescent="0.2">
      <c r="A75" s="333" t="s">
        <v>149</v>
      </c>
      <c r="B75" s="333"/>
      <c r="C75" s="333"/>
      <c r="D75" s="333"/>
      <c r="E75" s="333"/>
      <c r="F75" s="219"/>
      <c r="G75" s="219"/>
      <c r="H75" s="219"/>
      <c r="I75" s="219"/>
      <c r="J75" s="219"/>
      <c r="K75" s="219"/>
      <c r="L75" s="219"/>
      <c r="M75" s="219"/>
      <c r="N75" s="219"/>
      <c r="O75" s="219"/>
      <c r="P75" s="219"/>
      <c r="Q75" s="219"/>
      <c r="R75" s="219"/>
      <c r="S75" s="219"/>
    </row>
    <row r="76" spans="1:19" s="245" customFormat="1" ht="41.25" customHeight="1" x14ac:dyDescent="0.2">
      <c r="A76" s="326" t="s">
        <v>15</v>
      </c>
      <c r="B76" s="326"/>
    </row>
    <row r="77" spans="1:19" s="23" customFormat="1" ht="30" customHeight="1" x14ac:dyDescent="0.2">
      <c r="A77" s="331" t="s">
        <v>361</v>
      </c>
      <c r="B77" s="331"/>
      <c r="C77" s="331"/>
      <c r="D77" s="331"/>
      <c r="E77" s="331"/>
      <c r="F77" s="331"/>
      <c r="G77" s="331"/>
      <c r="H77" s="331"/>
      <c r="I77" s="331"/>
      <c r="J77" s="331"/>
      <c r="K77" s="331"/>
      <c r="L77" s="331"/>
      <c r="M77" s="331"/>
      <c r="N77" s="331"/>
      <c r="O77" s="331"/>
      <c r="P77" s="331"/>
      <c r="Q77" s="331"/>
      <c r="R77" s="331"/>
      <c r="S77" s="331"/>
    </row>
    <row r="78" spans="1:19" s="23" customFormat="1" ht="88.5" customHeight="1" x14ac:dyDescent="0.2">
      <c r="A78" s="331" t="s">
        <v>320</v>
      </c>
      <c r="B78" s="331"/>
      <c r="C78" s="331"/>
      <c r="D78" s="331"/>
      <c r="E78" s="331"/>
      <c r="F78" s="331"/>
      <c r="G78" s="331"/>
      <c r="H78" s="331"/>
      <c r="I78" s="331"/>
      <c r="J78" s="331"/>
      <c r="K78" s="331"/>
      <c r="L78" s="331"/>
      <c r="M78" s="331"/>
      <c r="N78" s="331"/>
      <c r="O78" s="331"/>
      <c r="P78" s="331"/>
      <c r="Q78" s="331"/>
      <c r="R78" s="331"/>
      <c r="S78" s="331"/>
    </row>
    <row r="79" spans="1:19" s="23" customFormat="1" ht="90" customHeight="1" x14ac:dyDescent="0.2">
      <c r="A79" s="331" t="s">
        <v>150</v>
      </c>
      <c r="B79" s="331"/>
      <c r="C79" s="331"/>
      <c r="D79" s="331"/>
      <c r="E79" s="331"/>
      <c r="F79" s="331"/>
      <c r="G79" s="331"/>
      <c r="H79" s="331"/>
      <c r="I79" s="331"/>
      <c r="J79" s="331"/>
      <c r="K79" s="331"/>
      <c r="L79" s="331"/>
      <c r="M79" s="331"/>
      <c r="N79" s="331"/>
      <c r="O79" s="331"/>
      <c r="P79" s="331"/>
      <c r="Q79" s="331"/>
      <c r="R79" s="331"/>
      <c r="S79" s="331"/>
    </row>
    <row r="80" spans="1:19" s="23" customFormat="1" ht="89.25" customHeight="1" x14ac:dyDescent="0.2">
      <c r="A80" s="331" t="s">
        <v>151</v>
      </c>
      <c r="B80" s="331"/>
      <c r="C80" s="331"/>
      <c r="D80" s="331"/>
      <c r="E80" s="331"/>
      <c r="F80" s="331"/>
      <c r="G80" s="331"/>
      <c r="H80" s="331"/>
      <c r="I80" s="331"/>
      <c r="J80" s="331"/>
      <c r="K80" s="331"/>
      <c r="L80" s="331"/>
      <c r="M80" s="331"/>
      <c r="N80" s="331"/>
      <c r="O80" s="331"/>
      <c r="P80" s="331"/>
      <c r="Q80" s="331"/>
      <c r="R80" s="331"/>
      <c r="S80" s="331"/>
    </row>
    <row r="81" spans="1:32" s="23" customFormat="1" ht="52.5" customHeight="1" x14ac:dyDescent="0.2">
      <c r="A81" s="331" t="s">
        <v>321</v>
      </c>
      <c r="B81" s="331"/>
      <c r="C81" s="331"/>
      <c r="D81" s="331"/>
      <c r="E81" s="331"/>
      <c r="F81" s="331"/>
      <c r="G81" s="331"/>
      <c r="H81" s="331"/>
      <c r="I81" s="331"/>
      <c r="J81" s="331"/>
      <c r="K81" s="331"/>
      <c r="L81" s="331"/>
      <c r="M81" s="331"/>
      <c r="N81" s="331"/>
      <c r="O81" s="331"/>
      <c r="P81" s="331"/>
      <c r="Q81" s="331"/>
      <c r="R81" s="331"/>
      <c r="S81" s="331"/>
    </row>
    <row r="82" spans="1:32" s="23" customFormat="1" ht="60.75" customHeight="1" x14ac:dyDescent="0.2">
      <c r="A82" s="331" t="s">
        <v>362</v>
      </c>
      <c r="B82" s="331"/>
      <c r="C82" s="331"/>
      <c r="D82" s="331"/>
      <c r="E82" s="331"/>
      <c r="F82" s="331"/>
      <c r="G82" s="331"/>
      <c r="H82" s="331"/>
      <c r="I82" s="331"/>
      <c r="J82" s="331"/>
      <c r="K82" s="331"/>
      <c r="L82" s="331"/>
      <c r="M82" s="331"/>
      <c r="N82" s="331"/>
      <c r="O82" s="331"/>
      <c r="P82" s="331"/>
      <c r="Q82" s="331"/>
      <c r="R82" s="331"/>
      <c r="S82" s="331"/>
    </row>
    <row r="83" spans="1:32" s="245" customFormat="1" ht="60.75" customHeight="1" x14ac:dyDescent="0.2">
      <c r="A83" s="326" t="s">
        <v>14</v>
      </c>
      <c r="B83" s="326"/>
      <c r="C83" s="326"/>
      <c r="D83" s="326"/>
    </row>
    <row r="84" spans="1:32" s="23" customFormat="1" ht="65.25" customHeight="1" x14ac:dyDescent="0.2">
      <c r="A84" s="331" t="s">
        <v>363</v>
      </c>
      <c r="B84" s="331"/>
      <c r="C84" s="331"/>
      <c r="D84" s="331"/>
      <c r="E84" s="331"/>
      <c r="F84" s="331"/>
      <c r="G84" s="331"/>
      <c r="H84" s="331"/>
      <c r="I84" s="331"/>
      <c r="J84" s="331"/>
      <c r="K84" s="331"/>
      <c r="L84" s="331"/>
      <c r="M84" s="331"/>
      <c r="N84" s="331"/>
      <c r="O84" s="331"/>
      <c r="P84" s="331"/>
      <c r="Q84" s="331"/>
      <c r="R84" s="331"/>
      <c r="S84" s="331"/>
    </row>
    <row r="85" spans="1:32" s="23" customFormat="1" ht="110.25" customHeight="1" x14ac:dyDescent="0.2">
      <c r="A85" s="331" t="s">
        <v>152</v>
      </c>
      <c r="B85" s="331"/>
      <c r="C85" s="331"/>
      <c r="D85" s="331"/>
      <c r="E85" s="331"/>
      <c r="F85" s="331"/>
      <c r="G85" s="331"/>
      <c r="H85" s="331"/>
      <c r="I85" s="331"/>
      <c r="J85" s="331"/>
      <c r="K85" s="331"/>
      <c r="L85" s="331"/>
      <c r="M85" s="331"/>
      <c r="N85" s="331"/>
      <c r="O85" s="331"/>
      <c r="P85" s="331"/>
      <c r="Q85" s="331"/>
      <c r="R85" s="331"/>
      <c r="S85" s="331"/>
    </row>
    <row r="86" spans="1:32" s="187" customFormat="1" ht="12.75" customHeight="1" x14ac:dyDescent="0.2">
      <c r="A86" s="330"/>
      <c r="B86" s="330"/>
      <c r="C86" s="330"/>
      <c r="D86" s="330"/>
      <c r="E86" s="330"/>
      <c r="F86" s="330"/>
      <c r="G86" s="330"/>
      <c r="H86" s="330"/>
      <c r="I86" s="330"/>
      <c r="J86" s="330"/>
      <c r="K86" s="330"/>
      <c r="L86" s="330"/>
      <c r="M86" s="330"/>
      <c r="N86" s="330"/>
      <c r="O86" s="330"/>
      <c r="P86" s="330"/>
      <c r="Q86" s="330"/>
      <c r="R86" s="330"/>
      <c r="S86" s="330"/>
    </row>
    <row r="87" spans="1:32" s="187" customFormat="1" ht="34.5" customHeight="1" x14ac:dyDescent="0.2">
      <c r="A87" s="330"/>
      <c r="B87" s="330"/>
      <c r="C87" s="330"/>
      <c r="D87" s="330"/>
      <c r="E87" s="330"/>
      <c r="F87" s="330"/>
      <c r="G87" s="330"/>
      <c r="H87" s="330"/>
      <c r="I87" s="330"/>
      <c r="J87" s="330"/>
      <c r="K87" s="330"/>
      <c r="L87" s="330"/>
      <c r="M87" s="330"/>
      <c r="N87" s="330"/>
      <c r="O87" s="330"/>
      <c r="P87" s="330"/>
      <c r="Q87" s="330"/>
      <c r="R87" s="330"/>
      <c r="S87" s="330"/>
    </row>
    <row r="88" spans="1:32" s="187" customFormat="1" ht="34.5" customHeight="1" x14ac:dyDescent="0.2">
      <c r="A88" s="330"/>
      <c r="B88" s="330"/>
      <c r="C88" s="330"/>
      <c r="D88" s="330"/>
      <c r="E88" s="330"/>
      <c r="F88" s="330"/>
      <c r="G88" s="330"/>
      <c r="H88" s="330"/>
      <c r="I88" s="330"/>
      <c r="J88" s="330"/>
      <c r="K88" s="330"/>
      <c r="L88" s="330"/>
      <c r="M88" s="330"/>
      <c r="N88" s="330"/>
      <c r="O88" s="330"/>
      <c r="P88" s="330"/>
      <c r="Q88" s="330"/>
      <c r="R88" s="330"/>
      <c r="S88" s="330"/>
    </row>
    <row r="89" spans="1:32" s="187" customFormat="1" ht="20" x14ac:dyDescent="0.2">
      <c r="A89" s="220"/>
      <c r="B89" s="22"/>
      <c r="C89" s="22"/>
      <c r="D89" s="22"/>
      <c r="E89" s="22"/>
      <c r="F89" s="22"/>
      <c r="G89" s="22"/>
      <c r="H89" s="22"/>
      <c r="I89" s="22"/>
      <c r="J89" s="22"/>
      <c r="K89" s="22"/>
      <c r="L89" s="22"/>
      <c r="M89" s="22"/>
      <c r="N89" s="22"/>
      <c r="O89" s="22"/>
      <c r="P89" s="22"/>
      <c r="Q89" s="22"/>
      <c r="R89" s="22"/>
      <c r="S89" s="22"/>
    </row>
    <row r="90" spans="1:32" s="187" customFormat="1" ht="13.5" customHeight="1" x14ac:dyDescent="0.2">
      <c r="A90" s="220"/>
      <c r="B90" s="22"/>
      <c r="C90" s="22"/>
      <c r="D90" s="22"/>
      <c r="E90" s="22"/>
      <c r="F90" s="22"/>
      <c r="G90" s="22"/>
      <c r="H90" s="22"/>
      <c r="I90" s="22"/>
      <c r="J90" s="22"/>
      <c r="K90" s="22"/>
      <c r="L90" s="22"/>
      <c r="M90" s="22"/>
      <c r="N90" s="22"/>
      <c r="O90" s="22"/>
      <c r="P90" s="22"/>
      <c r="Q90" s="22"/>
      <c r="R90" s="22"/>
      <c r="S90" s="22"/>
    </row>
    <row r="91" spans="1:32" s="23" customFormat="1" ht="23.25" customHeight="1" x14ac:dyDescent="0.2">
      <c r="A91" s="218"/>
      <c r="B91" s="20"/>
      <c r="C91" s="20"/>
      <c r="D91" s="20"/>
      <c r="E91" s="20"/>
      <c r="F91" s="20"/>
      <c r="G91" s="20"/>
      <c r="H91" s="20"/>
      <c r="I91" s="20"/>
      <c r="J91" s="20"/>
      <c r="K91" s="20"/>
      <c r="L91" s="20"/>
      <c r="M91" s="20"/>
      <c r="N91" s="20"/>
      <c r="O91" s="20"/>
      <c r="P91" s="20"/>
      <c r="Q91" s="20"/>
      <c r="R91" s="20"/>
      <c r="S91" s="20"/>
    </row>
    <row r="92" spans="1:32" s="21" customFormat="1" ht="40.5" customHeight="1" x14ac:dyDescent="0.2">
      <c r="A92" s="333" t="s">
        <v>119</v>
      </c>
      <c r="B92" s="333"/>
      <c r="C92" s="333"/>
      <c r="D92" s="333"/>
      <c r="E92" s="333"/>
      <c r="F92" s="19"/>
      <c r="G92" s="19"/>
      <c r="H92" s="19"/>
      <c r="I92" s="19"/>
      <c r="J92" s="19"/>
      <c r="K92" s="19"/>
      <c r="L92" s="19"/>
      <c r="M92" s="19"/>
      <c r="N92" s="19"/>
      <c r="O92" s="19"/>
      <c r="P92" s="19"/>
      <c r="Q92" s="19"/>
      <c r="R92" s="19"/>
      <c r="S92" s="19"/>
    </row>
    <row r="93" spans="1:32" s="245" customFormat="1" ht="40.5" customHeight="1" x14ac:dyDescent="0.2">
      <c r="A93" s="326" t="s">
        <v>113</v>
      </c>
      <c r="B93" s="326"/>
      <c r="C93" s="326"/>
    </row>
    <row r="94" spans="1:32" s="23" customFormat="1" ht="64.5" customHeight="1" x14ac:dyDescent="0.2">
      <c r="A94" s="331" t="s">
        <v>366</v>
      </c>
      <c r="B94" s="331"/>
      <c r="C94" s="331"/>
      <c r="D94" s="331"/>
      <c r="E94" s="331"/>
      <c r="F94" s="331"/>
      <c r="G94" s="331"/>
      <c r="H94" s="331"/>
      <c r="I94" s="331"/>
      <c r="J94" s="331"/>
      <c r="K94" s="331"/>
      <c r="L94" s="331"/>
      <c r="M94" s="331"/>
      <c r="N94" s="331"/>
      <c r="O94" s="331"/>
      <c r="P94" s="331"/>
      <c r="Q94" s="331"/>
      <c r="R94" s="331"/>
      <c r="S94" s="331"/>
    </row>
    <row r="95" spans="1:32" s="262" customFormat="1" ht="16" x14ac:dyDescent="0.2">
      <c r="A95" s="262" t="s">
        <v>153</v>
      </c>
      <c r="N95" s="263"/>
      <c r="O95" s="263"/>
      <c r="P95" s="263"/>
      <c r="Q95" s="263"/>
      <c r="R95" s="263"/>
      <c r="S95" s="263"/>
      <c r="T95" s="263"/>
      <c r="U95" s="263"/>
      <c r="V95" s="263"/>
      <c r="W95" s="263"/>
      <c r="X95" s="263"/>
      <c r="Y95" s="263"/>
      <c r="Z95" s="263"/>
      <c r="AA95" s="263"/>
      <c r="AB95" s="263"/>
      <c r="AC95" s="263"/>
      <c r="AD95" s="263"/>
      <c r="AE95" s="263"/>
      <c r="AF95" s="263"/>
    </row>
    <row r="96" spans="1:32" s="257" customFormat="1" ht="16" x14ac:dyDescent="0.2">
      <c r="A96" s="264" t="s">
        <v>19</v>
      </c>
      <c r="B96" s="265"/>
      <c r="C96" s="266"/>
      <c r="D96" s="266"/>
      <c r="E96" s="266"/>
      <c r="F96" s="266"/>
      <c r="G96" s="266"/>
      <c r="H96" s="266"/>
      <c r="I96" s="266"/>
      <c r="J96" s="266"/>
      <c r="K96" s="266"/>
      <c r="L96" s="266"/>
    </row>
    <row r="97" spans="1:14" s="257" customFormat="1" ht="18" thickBot="1" x14ac:dyDescent="0.25">
      <c r="A97" s="267" t="s">
        <v>69</v>
      </c>
      <c r="B97" s="268"/>
      <c r="C97" s="269" t="s">
        <v>312</v>
      </c>
      <c r="D97" s="269" t="s">
        <v>66</v>
      </c>
      <c r="E97" s="269" t="s">
        <v>20</v>
      </c>
      <c r="F97" s="269" t="s">
        <v>21</v>
      </c>
      <c r="G97" s="269" t="s">
        <v>22</v>
      </c>
      <c r="H97" s="269" t="s">
        <v>250</v>
      </c>
      <c r="I97" s="266"/>
      <c r="J97" s="266"/>
      <c r="K97" s="266"/>
      <c r="L97" s="266"/>
      <c r="M97" s="266"/>
    </row>
    <row r="98" spans="1:14" s="257" customFormat="1" ht="17" thickTop="1" x14ac:dyDescent="0.2">
      <c r="A98" s="266" t="s">
        <v>23</v>
      </c>
      <c r="B98" s="266"/>
      <c r="C98" s="270"/>
      <c r="D98" s="270"/>
      <c r="E98" s="270"/>
      <c r="F98" s="270"/>
      <c r="G98" s="270"/>
      <c r="H98" s="270"/>
      <c r="I98" s="266"/>
      <c r="J98" s="266"/>
      <c r="K98" s="266"/>
      <c r="L98" s="266"/>
      <c r="M98" s="266"/>
    </row>
    <row r="99" spans="1:14" s="257" customFormat="1" ht="16" x14ac:dyDescent="0.2">
      <c r="A99" s="266" t="s">
        <v>24</v>
      </c>
      <c r="B99" s="266"/>
      <c r="C99" s="270" t="s">
        <v>126</v>
      </c>
      <c r="D99" s="270"/>
      <c r="E99" s="270"/>
      <c r="F99" s="270"/>
      <c r="G99" s="270"/>
      <c r="H99" s="270"/>
      <c r="I99" s="266"/>
      <c r="J99" s="266"/>
      <c r="K99" s="266"/>
      <c r="L99" s="266"/>
      <c r="M99" s="266"/>
    </row>
    <row r="100" spans="1:14" s="257" customFormat="1" ht="16" x14ac:dyDescent="0.2">
      <c r="A100" s="266" t="s">
        <v>25</v>
      </c>
      <c r="B100" s="266"/>
      <c r="C100" s="270"/>
      <c r="D100" s="270"/>
      <c r="E100" s="270"/>
      <c r="F100" s="270"/>
      <c r="G100" s="270"/>
      <c r="H100" s="270" t="s">
        <v>126</v>
      </c>
      <c r="I100" s="266"/>
      <c r="J100" s="266"/>
      <c r="K100" s="266"/>
      <c r="L100" s="266"/>
      <c r="M100" s="266"/>
    </row>
    <row r="101" spans="1:14" s="257" customFormat="1" ht="16" x14ac:dyDescent="0.2">
      <c r="A101" s="271" t="s">
        <v>70</v>
      </c>
      <c r="B101" s="271"/>
      <c r="C101" s="272"/>
      <c r="D101" s="272"/>
      <c r="E101" s="272"/>
      <c r="F101" s="272"/>
      <c r="G101" s="272"/>
      <c r="H101" s="272"/>
      <c r="I101" s="273"/>
      <c r="J101" s="273"/>
      <c r="K101" s="273"/>
      <c r="L101" s="273"/>
      <c r="M101" s="273"/>
    </row>
    <row r="102" spans="1:14" s="257" customFormat="1" ht="16" x14ac:dyDescent="0.2">
      <c r="A102" s="266" t="s">
        <v>251</v>
      </c>
      <c r="B102" s="266"/>
      <c r="C102" s="270"/>
      <c r="D102" s="270" t="s">
        <v>126</v>
      </c>
      <c r="E102" s="270" t="s">
        <v>126</v>
      </c>
      <c r="F102" s="270"/>
      <c r="G102" s="270" t="s">
        <v>126</v>
      </c>
      <c r="H102" s="270"/>
      <c r="I102" s="266"/>
      <c r="J102" s="266"/>
      <c r="K102" s="266"/>
      <c r="L102" s="266"/>
      <c r="M102" s="266"/>
    </row>
    <row r="103" spans="1:14" s="257" customFormat="1" ht="16" x14ac:dyDescent="0.2">
      <c r="A103" s="266" t="s">
        <v>252</v>
      </c>
      <c r="B103" s="266"/>
      <c r="C103" s="270"/>
      <c r="D103" s="270"/>
      <c r="E103" s="270"/>
      <c r="F103" s="270" t="s">
        <v>126</v>
      </c>
      <c r="G103" s="270"/>
      <c r="H103" s="270"/>
      <c r="I103" s="266"/>
      <c r="J103" s="266"/>
      <c r="K103" s="266"/>
      <c r="L103" s="266"/>
      <c r="M103" s="266"/>
    </row>
    <row r="104" spans="1:14" s="257" customFormat="1" ht="16" x14ac:dyDescent="0.2">
      <c r="A104" s="266" t="s">
        <v>27</v>
      </c>
      <c r="B104" s="266"/>
      <c r="C104" s="270"/>
      <c r="D104" s="270"/>
      <c r="E104" s="270"/>
      <c r="F104" s="270"/>
      <c r="G104" s="270" t="s">
        <v>126</v>
      </c>
      <c r="H104" s="270"/>
      <c r="I104" s="266"/>
      <c r="J104" s="266"/>
      <c r="K104" s="266"/>
      <c r="L104" s="266"/>
      <c r="M104" s="266"/>
    </row>
    <row r="105" spans="1:14" s="257" customFormat="1" ht="16" x14ac:dyDescent="0.2">
      <c r="A105" s="266" t="s">
        <v>253</v>
      </c>
      <c r="B105" s="266"/>
      <c r="C105" s="270"/>
      <c r="D105" s="270" t="s">
        <v>126</v>
      </c>
      <c r="E105" s="270" t="s">
        <v>126</v>
      </c>
      <c r="F105" s="270" t="s">
        <v>126</v>
      </c>
      <c r="G105" s="270" t="s">
        <v>126</v>
      </c>
      <c r="H105" s="270" t="s">
        <v>126</v>
      </c>
      <c r="I105" s="266"/>
      <c r="J105" s="266"/>
      <c r="K105" s="266"/>
      <c r="L105" s="266"/>
      <c r="M105" s="266"/>
    </row>
    <row r="106" spans="1:14" s="257" customFormat="1" ht="16" x14ac:dyDescent="0.2">
      <c r="A106" s="266" t="s">
        <v>28</v>
      </c>
      <c r="B106" s="266"/>
      <c r="C106" s="270"/>
      <c r="D106" s="270"/>
      <c r="E106" s="270"/>
      <c r="F106" s="270" t="s">
        <v>126</v>
      </c>
      <c r="G106" s="270"/>
      <c r="H106" s="270"/>
      <c r="I106" s="266"/>
      <c r="J106" s="266"/>
      <c r="K106" s="266"/>
      <c r="L106" s="266"/>
      <c r="M106" s="266"/>
    </row>
    <row r="107" spans="1:14" s="257" customFormat="1" ht="16" x14ac:dyDescent="0.2">
      <c r="A107" s="266"/>
      <c r="C107" s="266"/>
      <c r="D107" s="266"/>
      <c r="E107" s="266"/>
      <c r="F107" s="266"/>
      <c r="G107" s="266"/>
      <c r="H107" s="266"/>
      <c r="I107" s="266"/>
      <c r="J107" s="266"/>
      <c r="K107" s="266"/>
      <c r="L107" s="266"/>
    </row>
    <row r="108" spans="1:14" s="257" customFormat="1" ht="16" x14ac:dyDescent="0.2">
      <c r="A108" s="266"/>
      <c r="C108" s="266"/>
      <c r="D108" s="266"/>
      <c r="E108" s="266"/>
      <c r="F108" s="266"/>
      <c r="G108" s="266"/>
      <c r="H108" s="266"/>
      <c r="I108" s="266"/>
      <c r="J108" s="266"/>
      <c r="K108" s="266"/>
      <c r="L108" s="266"/>
    </row>
    <row r="109" spans="1:14" s="257" customFormat="1" ht="16" x14ac:dyDescent="0.2">
      <c r="A109" s="274" t="s">
        <v>29</v>
      </c>
      <c r="C109" s="266"/>
      <c r="D109" s="266"/>
      <c r="E109" s="266"/>
      <c r="F109" s="266"/>
      <c r="G109" s="266"/>
      <c r="H109" s="266"/>
      <c r="I109" s="266"/>
      <c r="J109" s="266"/>
      <c r="K109" s="266"/>
      <c r="L109" s="266"/>
    </row>
    <row r="110" spans="1:14" s="257" customFormat="1" ht="18" thickBot="1" x14ac:dyDescent="0.25">
      <c r="A110" s="267" t="s">
        <v>69</v>
      </c>
      <c r="B110" s="267"/>
      <c r="C110" s="267"/>
      <c r="D110" s="269" t="s">
        <v>312</v>
      </c>
      <c r="E110" s="269" t="s">
        <v>68</v>
      </c>
      <c r="F110" s="269" t="s">
        <v>20</v>
      </c>
      <c r="G110" s="269" t="s">
        <v>21</v>
      </c>
      <c r="H110" s="269" t="s">
        <v>22</v>
      </c>
      <c r="I110" s="269" t="s">
        <v>30</v>
      </c>
      <c r="J110" s="269" t="s">
        <v>31</v>
      </c>
      <c r="K110" s="266"/>
      <c r="L110" s="266"/>
      <c r="M110" s="266"/>
      <c r="N110" s="266"/>
    </row>
    <row r="111" spans="1:14" s="257" customFormat="1" ht="17" thickTop="1" x14ac:dyDescent="0.2">
      <c r="A111" s="266" t="s">
        <v>23</v>
      </c>
      <c r="B111" s="266"/>
      <c r="C111" s="266"/>
      <c r="D111" s="270"/>
      <c r="E111" s="270"/>
      <c r="F111" s="270"/>
      <c r="G111" s="270"/>
      <c r="H111" s="270"/>
      <c r="I111" s="270"/>
      <c r="J111" s="270"/>
      <c r="K111" s="266"/>
      <c r="L111" s="266"/>
      <c r="M111" s="266"/>
      <c r="N111" s="266"/>
    </row>
    <row r="112" spans="1:14" s="257" customFormat="1" ht="16" x14ac:dyDescent="0.2">
      <c r="A112" s="266" t="s">
        <v>24</v>
      </c>
      <c r="B112" s="266"/>
      <c r="C112" s="266"/>
      <c r="D112" s="270" t="s">
        <v>126</v>
      </c>
      <c r="E112" s="270"/>
      <c r="F112" s="270"/>
      <c r="G112" s="270"/>
      <c r="H112" s="270"/>
      <c r="I112" s="270"/>
      <c r="J112" s="270"/>
      <c r="K112" s="266"/>
      <c r="L112" s="266"/>
      <c r="M112" s="266"/>
      <c r="N112" s="266"/>
    </row>
    <row r="113" spans="1:14" s="257" customFormat="1" ht="16" x14ac:dyDescent="0.2">
      <c r="A113" s="266" t="s">
        <v>25</v>
      </c>
      <c r="B113" s="266"/>
      <c r="C113" s="266"/>
      <c r="D113" s="270"/>
      <c r="E113" s="270"/>
      <c r="F113" s="270"/>
      <c r="G113" s="270"/>
      <c r="H113" s="270" t="s">
        <v>126</v>
      </c>
      <c r="I113" s="270" t="s">
        <v>126</v>
      </c>
      <c r="J113" s="270"/>
      <c r="K113" s="266"/>
      <c r="L113" s="266"/>
      <c r="M113" s="266"/>
      <c r="N113" s="266"/>
    </row>
    <row r="114" spans="1:14" s="257" customFormat="1" ht="16" x14ac:dyDescent="0.2">
      <c r="A114" s="271" t="s">
        <v>70</v>
      </c>
      <c r="B114" s="271"/>
      <c r="C114" s="271"/>
      <c r="D114" s="272"/>
      <c r="E114" s="272"/>
      <c r="F114" s="272"/>
      <c r="G114" s="272"/>
      <c r="H114" s="272"/>
      <c r="I114" s="272"/>
      <c r="J114" s="275"/>
      <c r="K114" s="273"/>
      <c r="L114" s="273"/>
      <c r="M114" s="273"/>
      <c r="N114" s="273"/>
    </row>
    <row r="115" spans="1:14" s="257" customFormat="1" ht="16" x14ac:dyDescent="0.2">
      <c r="A115" s="266" t="s">
        <v>252</v>
      </c>
      <c r="B115" s="266"/>
      <c r="C115" s="266"/>
      <c r="D115" s="270"/>
      <c r="E115" s="270"/>
      <c r="F115" s="270"/>
      <c r="G115" s="270"/>
      <c r="H115" s="270"/>
      <c r="I115" s="270"/>
      <c r="J115" s="270"/>
      <c r="K115" s="266"/>
      <c r="L115" s="266"/>
      <c r="M115" s="266"/>
      <c r="N115" s="266"/>
    </row>
    <row r="116" spans="1:14" s="257" customFormat="1" ht="16" x14ac:dyDescent="0.2">
      <c r="A116" s="266" t="s">
        <v>32</v>
      </c>
      <c r="B116" s="266"/>
      <c r="C116" s="266"/>
      <c r="D116" s="270"/>
      <c r="E116" s="270"/>
      <c r="F116" s="270"/>
      <c r="G116" s="270"/>
      <c r="H116" s="270"/>
      <c r="I116" s="270"/>
      <c r="J116" s="270"/>
      <c r="K116" s="266"/>
      <c r="L116" s="266"/>
      <c r="M116" s="266"/>
      <c r="N116" s="266"/>
    </row>
    <row r="117" spans="1:14" s="257" customFormat="1" ht="16" x14ac:dyDescent="0.2">
      <c r="A117" s="266" t="s">
        <v>26</v>
      </c>
      <c r="B117" s="266"/>
      <c r="C117" s="266"/>
      <c r="D117" s="270"/>
      <c r="E117" s="270" t="s">
        <v>126</v>
      </c>
      <c r="F117" s="270" t="s">
        <v>126</v>
      </c>
      <c r="G117" s="270" t="s">
        <v>126</v>
      </c>
      <c r="H117" s="270" t="s">
        <v>126</v>
      </c>
      <c r="I117" s="270"/>
      <c r="J117" s="270"/>
      <c r="K117" s="266"/>
      <c r="L117" s="266"/>
      <c r="M117" s="266"/>
      <c r="N117" s="266"/>
    </row>
    <row r="118" spans="1:14" s="257" customFormat="1" ht="16" x14ac:dyDescent="0.2">
      <c r="A118" s="266" t="s">
        <v>28</v>
      </c>
      <c r="B118" s="266"/>
      <c r="C118" s="266"/>
      <c r="D118" s="270"/>
      <c r="E118" s="270"/>
      <c r="F118" s="270"/>
      <c r="G118" s="270"/>
      <c r="H118" s="270"/>
      <c r="I118" s="270"/>
      <c r="J118" s="270" t="s">
        <v>126</v>
      </c>
      <c r="K118" s="266"/>
      <c r="L118" s="266"/>
      <c r="M118" s="266"/>
      <c r="N118" s="266"/>
    </row>
    <row r="119" spans="1:14" s="257" customFormat="1" ht="16" x14ac:dyDescent="0.2">
      <c r="A119" s="266" t="s">
        <v>33</v>
      </c>
      <c r="B119" s="266"/>
      <c r="C119" s="266"/>
      <c r="D119" s="270"/>
      <c r="E119" s="270"/>
      <c r="F119" s="270"/>
      <c r="G119" s="270"/>
      <c r="H119" s="270"/>
      <c r="I119" s="270"/>
      <c r="J119" s="270"/>
      <c r="K119" s="266"/>
      <c r="L119" s="266"/>
      <c r="M119" s="266"/>
      <c r="N119" s="266"/>
    </row>
    <row r="120" spans="1:14" s="257" customFormat="1" ht="16" x14ac:dyDescent="0.2">
      <c r="A120" s="266" t="s">
        <v>34</v>
      </c>
      <c r="B120" s="266"/>
      <c r="C120" s="266"/>
      <c r="D120" s="270"/>
      <c r="E120" s="270"/>
      <c r="F120" s="270"/>
      <c r="G120" s="270"/>
      <c r="H120" s="270"/>
      <c r="I120" s="270"/>
      <c r="J120" s="270"/>
      <c r="K120" s="266"/>
      <c r="L120" s="266"/>
      <c r="M120" s="266"/>
      <c r="N120" s="266"/>
    </row>
    <row r="121" spans="1:14" s="257" customFormat="1" ht="16" x14ac:dyDescent="0.2">
      <c r="A121" s="266" t="s">
        <v>27</v>
      </c>
      <c r="B121" s="266"/>
      <c r="C121" s="266"/>
      <c r="D121" s="270"/>
      <c r="E121" s="270"/>
      <c r="F121" s="270"/>
      <c r="G121" s="270"/>
      <c r="H121" s="270" t="s">
        <v>126</v>
      </c>
      <c r="I121" s="270" t="s">
        <v>126</v>
      </c>
      <c r="J121" s="270"/>
      <c r="K121" s="266"/>
      <c r="L121" s="266"/>
      <c r="M121" s="266"/>
      <c r="N121" s="266"/>
    </row>
    <row r="122" spans="1:14" s="257" customFormat="1" ht="16" x14ac:dyDescent="0.2">
      <c r="A122" s="266" t="s">
        <v>35</v>
      </c>
      <c r="B122" s="266"/>
      <c r="C122" s="266"/>
      <c r="D122" s="270"/>
      <c r="E122" s="270"/>
      <c r="F122" s="270"/>
      <c r="G122" s="270"/>
      <c r="H122" s="270"/>
      <c r="I122" s="270" t="s">
        <v>126</v>
      </c>
      <c r="J122" s="270"/>
      <c r="K122" s="266"/>
      <c r="L122" s="266"/>
      <c r="M122" s="266"/>
      <c r="N122" s="266"/>
    </row>
    <row r="123" spans="1:14" s="257" customFormat="1" ht="16" x14ac:dyDescent="0.2">
      <c r="A123" s="266" t="s">
        <v>36</v>
      </c>
      <c r="B123" s="266"/>
      <c r="C123" s="266"/>
      <c r="D123" s="270"/>
      <c r="E123" s="270"/>
      <c r="F123" s="270"/>
      <c r="G123" s="270"/>
      <c r="H123" s="270"/>
      <c r="I123" s="270"/>
      <c r="J123" s="270"/>
      <c r="K123" s="266"/>
      <c r="L123" s="266"/>
      <c r="M123" s="266"/>
      <c r="N123" s="266"/>
    </row>
    <row r="124" spans="1:14" s="257" customFormat="1" ht="16" x14ac:dyDescent="0.2">
      <c r="A124" s="266" t="s">
        <v>253</v>
      </c>
      <c r="B124" s="266"/>
      <c r="C124" s="266"/>
      <c r="D124" s="270"/>
      <c r="E124" s="270" t="s">
        <v>126</v>
      </c>
      <c r="F124" s="270" t="s">
        <v>126</v>
      </c>
      <c r="G124" s="270" t="s">
        <v>126</v>
      </c>
      <c r="H124" s="270" t="s">
        <v>126</v>
      </c>
      <c r="I124" s="270" t="s">
        <v>126</v>
      </c>
      <c r="J124" s="270" t="s">
        <v>126</v>
      </c>
      <c r="K124" s="266"/>
      <c r="L124" s="266"/>
      <c r="M124" s="266"/>
      <c r="N124" s="266"/>
    </row>
    <row r="125" spans="1:14" s="257" customFormat="1" ht="16" x14ac:dyDescent="0.2">
      <c r="A125" s="266"/>
      <c r="B125" s="266"/>
      <c r="C125" s="266"/>
      <c r="D125" s="270"/>
      <c r="E125" s="270"/>
      <c r="F125" s="270"/>
      <c r="G125" s="270"/>
      <c r="H125" s="270"/>
      <c r="I125" s="270"/>
      <c r="J125" s="270"/>
      <c r="K125" s="266"/>
      <c r="L125" s="266"/>
      <c r="M125" s="266"/>
      <c r="N125" s="266"/>
    </row>
    <row r="126" spans="1:14" s="257" customFormat="1" ht="16" x14ac:dyDescent="0.2">
      <c r="C126" s="266"/>
      <c r="D126" s="266"/>
      <c r="E126" s="266"/>
      <c r="F126" s="266"/>
      <c r="G126" s="266"/>
      <c r="H126" s="266"/>
      <c r="I126" s="266"/>
      <c r="J126" s="266"/>
      <c r="K126" s="266"/>
      <c r="L126" s="266"/>
    </row>
    <row r="127" spans="1:14" s="257" customFormat="1" ht="16" x14ac:dyDescent="0.2">
      <c r="A127" s="276" t="s">
        <v>37</v>
      </c>
      <c r="C127" s="266"/>
      <c r="D127" s="266"/>
      <c r="E127" s="266"/>
      <c r="F127" s="266"/>
      <c r="G127" s="266"/>
      <c r="H127" s="266"/>
      <c r="I127" s="266"/>
      <c r="J127" s="266"/>
      <c r="K127" s="266"/>
      <c r="L127" s="266"/>
    </row>
    <row r="128" spans="1:14" s="257" customFormat="1" ht="17" x14ac:dyDescent="0.2">
      <c r="A128" s="266"/>
      <c r="B128" s="266"/>
      <c r="C128" s="266"/>
      <c r="D128" s="269" t="s">
        <v>312</v>
      </c>
      <c r="E128" s="269" t="s">
        <v>68</v>
      </c>
      <c r="F128" s="269" t="s">
        <v>20</v>
      </c>
      <c r="G128" s="269" t="s">
        <v>21</v>
      </c>
      <c r="H128" s="269" t="s">
        <v>22</v>
      </c>
      <c r="I128" s="269" t="s">
        <v>30</v>
      </c>
      <c r="J128" s="269" t="s">
        <v>31</v>
      </c>
      <c r="K128" s="269" t="s">
        <v>38</v>
      </c>
      <c r="L128" s="269" t="s">
        <v>322</v>
      </c>
      <c r="M128" s="269" t="s">
        <v>39</v>
      </c>
      <c r="N128" s="269" t="s">
        <v>40</v>
      </c>
    </row>
    <row r="129" spans="1:14" s="257" customFormat="1" ht="51" x14ac:dyDescent="0.2">
      <c r="B129" s="256"/>
      <c r="C129" s="256"/>
      <c r="D129" s="277" t="s">
        <v>325</v>
      </c>
      <c r="E129" s="277" t="s">
        <v>254</v>
      </c>
      <c r="F129" s="277" t="s">
        <v>255</v>
      </c>
      <c r="G129" s="277" t="s">
        <v>256</v>
      </c>
      <c r="H129" s="277" t="s">
        <v>257</v>
      </c>
      <c r="I129" s="277" t="s">
        <v>258</v>
      </c>
      <c r="J129" s="277" t="s">
        <v>259</v>
      </c>
      <c r="K129" s="277" t="s">
        <v>260</v>
      </c>
      <c r="L129" s="277" t="s">
        <v>323</v>
      </c>
      <c r="M129" s="277" t="s">
        <v>324</v>
      </c>
      <c r="N129" s="277" t="s">
        <v>261</v>
      </c>
    </row>
    <row r="130" spans="1:14" s="257" customFormat="1" ht="16" x14ac:dyDescent="0.2">
      <c r="A130" s="278" t="s">
        <v>69</v>
      </c>
      <c r="B130" s="279"/>
      <c r="C130" s="280"/>
      <c r="D130" s="281"/>
      <c r="E130" s="281"/>
      <c r="F130" s="281"/>
      <c r="G130" s="281"/>
      <c r="H130" s="281"/>
      <c r="I130" s="281"/>
      <c r="J130" s="281"/>
      <c r="K130" s="281"/>
      <c r="L130" s="281"/>
      <c r="M130" s="281"/>
      <c r="N130" s="282"/>
    </row>
    <row r="131" spans="1:14" s="257" customFormat="1" ht="16" x14ac:dyDescent="0.2">
      <c r="A131" s="266" t="s">
        <v>41</v>
      </c>
      <c r="B131" s="266"/>
      <c r="C131" s="266"/>
      <c r="D131" s="283"/>
      <c r="E131" s="283"/>
      <c r="F131" s="283"/>
      <c r="G131" s="283"/>
      <c r="H131" s="283"/>
      <c r="I131" s="283"/>
      <c r="J131" s="283" t="s">
        <v>126</v>
      </c>
      <c r="K131" s="283"/>
      <c r="L131" s="283"/>
      <c r="M131" s="283"/>
      <c r="N131" s="283"/>
    </row>
    <row r="132" spans="1:14" s="257" customFormat="1" ht="16" x14ac:dyDescent="0.2">
      <c r="A132" s="266" t="s">
        <v>24</v>
      </c>
      <c r="B132" s="266"/>
      <c r="C132" s="266"/>
      <c r="D132" s="270" t="s">
        <v>126</v>
      </c>
      <c r="E132" s="270"/>
      <c r="F132" s="270"/>
      <c r="G132" s="270"/>
      <c r="H132" s="270"/>
      <c r="I132" s="270" t="s">
        <v>126</v>
      </c>
      <c r="J132" s="270"/>
      <c r="K132" s="270"/>
      <c r="L132" s="270"/>
      <c r="M132" s="270"/>
      <c r="N132" s="270"/>
    </row>
    <row r="133" spans="1:14" s="257" customFormat="1" ht="16" x14ac:dyDescent="0.2">
      <c r="A133" s="266" t="s">
        <v>25</v>
      </c>
      <c r="B133" s="266"/>
      <c r="C133" s="266"/>
      <c r="D133" s="284"/>
      <c r="E133" s="284"/>
      <c r="F133" s="284"/>
      <c r="G133" s="284"/>
      <c r="H133" s="284"/>
      <c r="I133" s="284"/>
      <c r="J133" s="284"/>
      <c r="K133" s="284" t="s">
        <v>126</v>
      </c>
      <c r="L133" s="284" t="s">
        <v>126</v>
      </c>
      <c r="M133" s="284"/>
      <c r="N133" s="284"/>
    </row>
    <row r="134" spans="1:14" s="257" customFormat="1" ht="16" x14ac:dyDescent="0.2">
      <c r="A134" s="271" t="s">
        <v>70</v>
      </c>
      <c r="B134" s="271"/>
      <c r="C134" s="271"/>
      <c r="D134" s="285"/>
      <c r="E134" s="285"/>
      <c r="F134" s="285"/>
      <c r="G134" s="285"/>
      <c r="H134" s="285"/>
      <c r="I134" s="285"/>
      <c r="J134" s="285"/>
      <c r="K134" s="285"/>
      <c r="L134" s="285"/>
      <c r="M134" s="285"/>
      <c r="N134" s="275"/>
    </row>
    <row r="135" spans="1:14" s="257" customFormat="1" ht="16" x14ac:dyDescent="0.2">
      <c r="A135" s="273" t="s">
        <v>252</v>
      </c>
      <c r="B135" s="273"/>
      <c r="C135" s="273"/>
      <c r="D135" s="286"/>
      <c r="E135" s="286"/>
      <c r="F135" s="286"/>
      <c r="G135" s="286"/>
      <c r="H135" s="286"/>
      <c r="I135" s="286"/>
      <c r="J135" s="286"/>
      <c r="K135" s="286"/>
      <c r="L135" s="286"/>
      <c r="M135" s="286" t="s">
        <v>126</v>
      </c>
      <c r="N135" s="286"/>
    </row>
    <row r="136" spans="1:14" s="257" customFormat="1" ht="16" x14ac:dyDescent="0.2">
      <c r="A136" s="273" t="s">
        <v>32</v>
      </c>
      <c r="B136" s="273"/>
      <c r="C136" s="273"/>
      <c r="D136" s="287"/>
      <c r="E136" s="287"/>
      <c r="F136" s="287"/>
      <c r="G136" s="287" t="s">
        <v>126</v>
      </c>
      <c r="H136" s="287"/>
      <c r="I136" s="287"/>
      <c r="J136" s="287"/>
      <c r="K136" s="287"/>
      <c r="L136" s="287"/>
      <c r="M136" s="287" t="s">
        <v>126</v>
      </c>
      <c r="N136" s="287"/>
    </row>
    <row r="137" spans="1:14" s="257" customFormat="1" ht="16" x14ac:dyDescent="0.2">
      <c r="A137" s="273" t="s">
        <v>251</v>
      </c>
      <c r="B137" s="273"/>
      <c r="C137" s="273"/>
      <c r="D137" s="287" t="s">
        <v>126</v>
      </c>
      <c r="E137" s="287" t="s">
        <v>126</v>
      </c>
      <c r="F137" s="287" t="s">
        <v>126</v>
      </c>
      <c r="G137" s="287" t="s">
        <v>126</v>
      </c>
      <c r="H137" s="287" t="s">
        <v>126</v>
      </c>
      <c r="I137" s="287"/>
      <c r="J137" s="287" t="s">
        <v>126</v>
      </c>
      <c r="K137" s="287"/>
      <c r="L137" s="287"/>
      <c r="M137" s="287"/>
      <c r="N137" s="287"/>
    </row>
    <row r="138" spans="1:14" s="257" customFormat="1" ht="16" x14ac:dyDescent="0.2">
      <c r="A138" s="273" t="s">
        <v>28</v>
      </c>
      <c r="B138" s="273"/>
      <c r="C138" s="273"/>
      <c r="D138" s="287"/>
      <c r="E138" s="287"/>
      <c r="F138" s="287"/>
      <c r="G138" s="287"/>
      <c r="H138" s="287"/>
      <c r="I138" s="287"/>
      <c r="J138" s="287" t="s">
        <v>126</v>
      </c>
      <c r="K138" s="287" t="s">
        <v>126</v>
      </c>
      <c r="L138" s="287" t="s">
        <v>126</v>
      </c>
      <c r="M138" s="287"/>
      <c r="N138" s="287"/>
    </row>
    <row r="139" spans="1:14" s="257" customFormat="1" ht="16" x14ac:dyDescent="0.2">
      <c r="A139" s="273" t="s">
        <v>33</v>
      </c>
      <c r="B139" s="273"/>
      <c r="C139" s="273"/>
      <c r="D139" s="287"/>
      <c r="E139" s="287"/>
      <c r="F139" s="287"/>
      <c r="G139" s="287"/>
      <c r="H139" s="287"/>
      <c r="I139" s="287"/>
      <c r="J139" s="287"/>
      <c r="K139" s="287" t="s">
        <v>126</v>
      </c>
      <c r="L139" s="288"/>
      <c r="M139" s="287" t="s">
        <v>126</v>
      </c>
      <c r="N139" s="287"/>
    </row>
    <row r="140" spans="1:14" s="257" customFormat="1" ht="16" x14ac:dyDescent="0.2">
      <c r="A140" s="273" t="s">
        <v>34</v>
      </c>
      <c r="B140" s="273"/>
      <c r="C140" s="273"/>
      <c r="D140" s="287"/>
      <c r="E140" s="287"/>
      <c r="F140" s="287"/>
      <c r="G140" s="287"/>
      <c r="H140" s="287" t="s">
        <v>126</v>
      </c>
      <c r="I140" s="287"/>
      <c r="J140" s="287"/>
      <c r="K140" s="287"/>
      <c r="L140" s="287" t="s">
        <v>126</v>
      </c>
      <c r="M140" s="287"/>
      <c r="N140" s="287" t="s">
        <v>126</v>
      </c>
    </row>
    <row r="141" spans="1:14" s="257" customFormat="1" ht="16" x14ac:dyDescent="0.2">
      <c r="A141" s="273" t="s">
        <v>27</v>
      </c>
      <c r="B141" s="273"/>
      <c r="C141" s="273"/>
      <c r="D141" s="287"/>
      <c r="E141" s="287"/>
      <c r="F141" s="287" t="s">
        <v>126</v>
      </c>
      <c r="G141" s="287"/>
      <c r="H141" s="287" t="s">
        <v>126</v>
      </c>
      <c r="I141" s="287" t="s">
        <v>126</v>
      </c>
      <c r="J141" s="287" t="s">
        <v>126</v>
      </c>
      <c r="K141" s="287"/>
      <c r="L141" s="287"/>
      <c r="M141" s="287"/>
      <c r="N141" s="287"/>
    </row>
    <row r="142" spans="1:14" s="257" customFormat="1" ht="16" x14ac:dyDescent="0.2">
      <c r="A142" s="273" t="s">
        <v>35</v>
      </c>
      <c r="B142" s="273"/>
      <c r="C142" s="273"/>
      <c r="D142" s="287"/>
      <c r="E142" s="287"/>
      <c r="F142" s="287"/>
      <c r="G142" s="287"/>
      <c r="H142" s="287"/>
      <c r="I142" s="287"/>
      <c r="J142" s="287"/>
      <c r="K142" s="287"/>
      <c r="L142" s="287" t="s">
        <v>126</v>
      </c>
      <c r="M142" s="287"/>
      <c r="N142" s="287"/>
    </row>
    <row r="143" spans="1:14" s="257" customFormat="1" ht="16" x14ac:dyDescent="0.2">
      <c r="A143" s="273" t="s">
        <v>36</v>
      </c>
      <c r="B143" s="273"/>
      <c r="C143" s="273"/>
      <c r="D143" s="287"/>
      <c r="E143" s="287"/>
      <c r="F143" s="287"/>
      <c r="G143" s="287"/>
      <c r="H143" s="287"/>
      <c r="I143" s="287" t="s">
        <v>126</v>
      </c>
      <c r="J143" s="287"/>
      <c r="K143" s="287"/>
      <c r="L143" s="287"/>
      <c r="M143" s="287"/>
      <c r="N143" s="287"/>
    </row>
    <row r="144" spans="1:14" s="257" customFormat="1" ht="16" x14ac:dyDescent="0.2">
      <c r="A144" s="273" t="s">
        <v>253</v>
      </c>
      <c r="B144" s="273"/>
      <c r="C144" s="273"/>
      <c r="D144" s="287"/>
      <c r="E144" s="287"/>
      <c r="F144" s="287" t="s">
        <v>126</v>
      </c>
      <c r="G144" s="287" t="s">
        <v>126</v>
      </c>
      <c r="H144" s="287" t="s">
        <v>126</v>
      </c>
      <c r="I144" s="287" t="s">
        <v>126</v>
      </c>
      <c r="J144" s="287" t="s">
        <v>126</v>
      </c>
      <c r="K144" s="287" t="s">
        <v>126</v>
      </c>
      <c r="L144" s="287" t="s">
        <v>126</v>
      </c>
      <c r="M144" s="287"/>
      <c r="N144" s="287"/>
    </row>
    <row r="145" spans="1:14" s="257" customFormat="1" ht="16" x14ac:dyDescent="0.2">
      <c r="A145" s="273" t="s">
        <v>42</v>
      </c>
      <c r="B145" s="273"/>
      <c r="C145" s="273"/>
      <c r="D145" s="287"/>
      <c r="E145" s="287"/>
      <c r="F145" s="287"/>
      <c r="G145" s="287"/>
      <c r="H145" s="287"/>
      <c r="I145" s="287" t="s">
        <v>126</v>
      </c>
      <c r="J145" s="287"/>
      <c r="K145" s="287"/>
      <c r="L145" s="287"/>
      <c r="M145" s="287"/>
      <c r="N145" s="287"/>
    </row>
    <row r="146" spans="1:14" s="257" customFormat="1" ht="16" x14ac:dyDescent="0.2">
      <c r="A146" s="273" t="s">
        <v>43</v>
      </c>
      <c r="B146" s="273"/>
      <c r="C146" s="273"/>
      <c r="D146" s="289"/>
      <c r="E146" s="289"/>
      <c r="F146" s="289"/>
      <c r="G146" s="289"/>
      <c r="H146" s="289"/>
      <c r="I146" s="287" t="s">
        <v>126</v>
      </c>
      <c r="J146" s="287" t="s">
        <v>126</v>
      </c>
      <c r="K146" s="289"/>
      <c r="L146" s="289"/>
      <c r="M146" s="289"/>
      <c r="N146" s="289"/>
    </row>
    <row r="147" spans="1:14" s="257" customFormat="1" ht="16" x14ac:dyDescent="0.2">
      <c r="A147" s="266"/>
      <c r="B147" s="266"/>
      <c r="E147" s="266"/>
      <c r="F147" s="266"/>
      <c r="G147" s="266"/>
      <c r="H147" s="266"/>
      <c r="I147" s="266"/>
      <c r="J147" s="266"/>
      <c r="K147" s="266"/>
      <c r="L147" s="266"/>
      <c r="M147" s="266"/>
      <c r="N147" s="266"/>
    </row>
    <row r="148" spans="1:14" s="257" customFormat="1" ht="16" x14ac:dyDescent="0.2">
      <c r="A148" s="264" t="s">
        <v>44</v>
      </c>
      <c r="B148" s="290"/>
      <c r="C148" s="291"/>
      <c r="E148" s="266"/>
      <c r="F148" s="266"/>
      <c r="G148" s="266"/>
      <c r="H148" s="266"/>
      <c r="I148" s="266"/>
      <c r="J148" s="266"/>
      <c r="K148" s="266"/>
      <c r="L148" s="266"/>
      <c r="M148" s="266"/>
      <c r="N148" s="266"/>
    </row>
    <row r="149" spans="1:14" s="257" customFormat="1" ht="17" x14ac:dyDescent="0.2">
      <c r="A149" s="292"/>
      <c r="B149" s="292"/>
      <c r="C149" s="292"/>
      <c r="D149" s="269" t="s">
        <v>67</v>
      </c>
      <c r="E149" s="269" t="s">
        <v>66</v>
      </c>
      <c r="F149" s="269" t="s">
        <v>20</v>
      </c>
      <c r="G149" s="269" t="s">
        <v>21</v>
      </c>
      <c r="H149" s="269" t="s">
        <v>22</v>
      </c>
      <c r="I149" s="269" t="s">
        <v>30</v>
      </c>
      <c r="J149" s="269" t="s">
        <v>31</v>
      </c>
      <c r="K149" s="269" t="s">
        <v>38</v>
      </c>
      <c r="L149" s="269" t="s">
        <v>71</v>
      </c>
      <c r="M149" s="269" t="s">
        <v>39</v>
      </c>
      <c r="N149" s="269" t="s">
        <v>40</v>
      </c>
    </row>
    <row r="150" spans="1:14" s="257" customFormat="1" ht="51" x14ac:dyDescent="0.2">
      <c r="D150" s="277" t="s">
        <v>325</v>
      </c>
      <c r="E150" s="277" t="s">
        <v>254</v>
      </c>
      <c r="F150" s="277" t="s">
        <v>255</v>
      </c>
      <c r="G150" s="277" t="s">
        <v>256</v>
      </c>
      <c r="H150" s="277" t="s">
        <v>257</v>
      </c>
      <c r="I150" s="277" t="s">
        <v>258</v>
      </c>
      <c r="J150" s="277" t="s">
        <v>259</v>
      </c>
      <c r="K150" s="277" t="s">
        <v>260</v>
      </c>
      <c r="L150" s="277" t="s">
        <v>262</v>
      </c>
      <c r="M150" s="277" t="s">
        <v>263</v>
      </c>
      <c r="N150" s="277" t="s">
        <v>261</v>
      </c>
    </row>
    <row r="151" spans="1:14" s="257" customFormat="1" ht="16" x14ac:dyDescent="0.2">
      <c r="A151" s="327" t="s">
        <v>69</v>
      </c>
      <c r="B151" s="328"/>
      <c r="C151" s="328"/>
      <c r="D151" s="281"/>
      <c r="E151" s="281"/>
      <c r="F151" s="281"/>
      <c r="G151" s="281"/>
      <c r="H151" s="281"/>
      <c r="I151" s="281"/>
      <c r="J151" s="281"/>
      <c r="K151" s="281"/>
      <c r="L151" s="281"/>
      <c r="M151" s="281"/>
      <c r="N151" s="282"/>
    </row>
    <row r="152" spans="1:14" s="257" customFormat="1" ht="16" x14ac:dyDescent="0.2">
      <c r="A152" s="266" t="s">
        <v>41</v>
      </c>
      <c r="B152" s="266"/>
      <c r="C152" s="266"/>
      <c r="D152" s="283"/>
      <c r="E152" s="283"/>
      <c r="F152" s="283"/>
      <c r="G152" s="283"/>
      <c r="H152" s="283"/>
      <c r="I152" s="283"/>
      <c r="J152" s="283" t="s">
        <v>126</v>
      </c>
      <c r="K152" s="283"/>
      <c r="L152" s="283"/>
      <c r="M152" s="283"/>
      <c r="N152" s="283"/>
    </row>
    <row r="153" spans="1:14" s="257" customFormat="1" ht="16" x14ac:dyDescent="0.2">
      <c r="A153" s="266" t="s">
        <v>24</v>
      </c>
      <c r="B153" s="266"/>
      <c r="C153" s="266"/>
      <c r="D153" s="270" t="s">
        <v>126</v>
      </c>
      <c r="E153" s="270"/>
      <c r="F153" s="270"/>
      <c r="G153" s="270"/>
      <c r="H153" s="270"/>
      <c r="I153" s="270" t="s">
        <v>126</v>
      </c>
      <c r="J153" s="270"/>
      <c r="K153" s="270"/>
      <c r="L153" s="270"/>
      <c r="M153" s="270"/>
      <c r="N153" s="270"/>
    </row>
    <row r="154" spans="1:14" s="257" customFormat="1" ht="16" x14ac:dyDescent="0.2">
      <c r="A154" s="266" t="s">
        <v>25</v>
      </c>
      <c r="B154" s="266"/>
      <c r="C154" s="266"/>
      <c r="D154" s="284"/>
      <c r="E154" s="284"/>
      <c r="F154" s="284"/>
      <c r="G154" s="284"/>
      <c r="H154" s="284"/>
      <c r="I154" s="284"/>
      <c r="J154" s="284"/>
      <c r="K154" s="284" t="s">
        <v>126</v>
      </c>
      <c r="L154" s="284" t="s">
        <v>126</v>
      </c>
      <c r="M154" s="284"/>
      <c r="N154" s="284"/>
    </row>
    <row r="155" spans="1:14" s="257" customFormat="1" ht="16" x14ac:dyDescent="0.2">
      <c r="A155" s="271" t="s">
        <v>70</v>
      </c>
      <c r="B155" s="271"/>
      <c r="C155" s="271"/>
      <c r="D155" s="285"/>
      <c r="E155" s="285"/>
      <c r="F155" s="285"/>
      <c r="G155" s="285"/>
      <c r="H155" s="285"/>
      <c r="I155" s="285"/>
      <c r="J155" s="285"/>
      <c r="K155" s="285"/>
      <c r="L155" s="285"/>
      <c r="M155" s="285"/>
      <c r="N155" s="275"/>
    </row>
    <row r="156" spans="1:14" s="257" customFormat="1" ht="16" x14ac:dyDescent="0.2">
      <c r="A156" s="273" t="s">
        <v>252</v>
      </c>
      <c r="B156" s="273"/>
      <c r="C156" s="273"/>
      <c r="D156" s="286"/>
      <c r="E156" s="286"/>
      <c r="F156" s="286"/>
      <c r="G156" s="286"/>
      <c r="H156" s="286"/>
      <c r="I156" s="286"/>
      <c r="J156" s="286"/>
      <c r="K156" s="286"/>
      <c r="L156" s="286"/>
      <c r="M156" s="286" t="s">
        <v>126</v>
      </c>
      <c r="N156" s="286" t="s">
        <v>126</v>
      </c>
    </row>
    <row r="157" spans="1:14" s="257" customFormat="1" ht="16" x14ac:dyDescent="0.2">
      <c r="A157" s="273" t="s">
        <v>32</v>
      </c>
      <c r="B157" s="273"/>
      <c r="C157" s="273"/>
      <c r="D157" s="287"/>
      <c r="E157" s="287"/>
      <c r="F157" s="287"/>
      <c r="G157" s="287" t="s">
        <v>126</v>
      </c>
      <c r="H157" s="287"/>
      <c r="I157" s="287"/>
      <c r="J157" s="287"/>
      <c r="K157" s="287"/>
      <c r="L157" s="287"/>
      <c r="M157" s="287" t="s">
        <v>126</v>
      </c>
      <c r="N157" s="287"/>
    </row>
    <row r="158" spans="1:14" s="257" customFormat="1" ht="16" x14ac:dyDescent="0.2">
      <c r="A158" s="273" t="s">
        <v>251</v>
      </c>
      <c r="B158" s="273"/>
      <c r="C158" s="273"/>
      <c r="D158" s="287" t="s">
        <v>126</v>
      </c>
      <c r="E158" s="287" t="s">
        <v>126</v>
      </c>
      <c r="F158" s="287" t="s">
        <v>126</v>
      </c>
      <c r="G158" s="287" t="s">
        <v>126</v>
      </c>
      <c r="H158" s="287" t="s">
        <v>126</v>
      </c>
      <c r="I158" s="287"/>
      <c r="J158" s="287" t="s">
        <v>126</v>
      </c>
      <c r="K158" s="287"/>
      <c r="L158" s="287"/>
      <c r="M158" s="287"/>
      <c r="N158" s="287"/>
    </row>
    <row r="159" spans="1:14" s="257" customFormat="1" ht="16" x14ac:dyDescent="0.2">
      <c r="A159" s="273" t="s">
        <v>28</v>
      </c>
      <c r="B159" s="273"/>
      <c r="C159" s="273"/>
      <c r="D159" s="287"/>
      <c r="E159" s="287"/>
      <c r="F159" s="287"/>
      <c r="G159" s="287"/>
      <c r="H159" s="287"/>
      <c r="I159" s="287"/>
      <c r="J159" s="287" t="s">
        <v>126</v>
      </c>
      <c r="K159" s="287" t="s">
        <v>126</v>
      </c>
      <c r="L159" s="287" t="s">
        <v>126</v>
      </c>
      <c r="M159" s="287"/>
      <c r="N159" s="287"/>
    </row>
    <row r="160" spans="1:14" s="257" customFormat="1" ht="16" x14ac:dyDescent="0.2">
      <c r="A160" s="273" t="s">
        <v>33</v>
      </c>
      <c r="B160" s="273"/>
      <c r="C160" s="273"/>
      <c r="D160" s="287"/>
      <c r="E160" s="287"/>
      <c r="F160" s="287"/>
      <c r="G160" s="287"/>
      <c r="H160" s="287"/>
      <c r="I160" s="287"/>
      <c r="J160" s="287"/>
      <c r="K160" s="287" t="s">
        <v>126</v>
      </c>
      <c r="L160" s="288"/>
      <c r="M160" s="287" t="s">
        <v>126</v>
      </c>
      <c r="N160" s="287"/>
    </row>
    <row r="161" spans="1:14" s="257" customFormat="1" ht="16" x14ac:dyDescent="0.2">
      <c r="A161" s="273" t="s">
        <v>34</v>
      </c>
      <c r="B161" s="273"/>
      <c r="C161" s="273"/>
      <c r="D161" s="287"/>
      <c r="E161" s="287"/>
      <c r="F161" s="287"/>
      <c r="G161" s="287"/>
      <c r="H161" s="287" t="s">
        <v>126</v>
      </c>
      <c r="I161" s="287"/>
      <c r="J161" s="287"/>
      <c r="K161" s="287"/>
      <c r="L161" s="287" t="s">
        <v>126</v>
      </c>
      <c r="M161" s="287"/>
      <c r="N161" s="287" t="s">
        <v>126</v>
      </c>
    </row>
    <row r="162" spans="1:14" s="257" customFormat="1" ht="16" x14ac:dyDescent="0.2">
      <c r="A162" s="273" t="s">
        <v>27</v>
      </c>
      <c r="B162" s="273"/>
      <c r="C162" s="273"/>
      <c r="D162" s="287"/>
      <c r="E162" s="287"/>
      <c r="F162" s="287" t="s">
        <v>126</v>
      </c>
      <c r="G162" s="287"/>
      <c r="H162" s="287" t="s">
        <v>126</v>
      </c>
      <c r="I162" s="287" t="s">
        <v>126</v>
      </c>
      <c r="J162" s="287" t="s">
        <v>126</v>
      </c>
      <c r="K162" s="287"/>
      <c r="L162" s="287"/>
      <c r="M162" s="287"/>
      <c r="N162" s="287"/>
    </row>
    <row r="163" spans="1:14" s="257" customFormat="1" ht="16" x14ac:dyDescent="0.2">
      <c r="A163" s="273" t="s">
        <v>35</v>
      </c>
      <c r="B163" s="273"/>
      <c r="C163" s="273"/>
      <c r="D163" s="287"/>
      <c r="E163" s="287"/>
      <c r="F163" s="287"/>
      <c r="G163" s="287"/>
      <c r="H163" s="287"/>
      <c r="I163" s="287"/>
      <c r="J163" s="287"/>
      <c r="K163" s="287" t="s">
        <v>126</v>
      </c>
      <c r="L163" s="287" t="s">
        <v>126</v>
      </c>
      <c r="M163" s="287"/>
      <c r="N163" s="287"/>
    </row>
    <row r="164" spans="1:14" s="257" customFormat="1" ht="16" x14ac:dyDescent="0.2">
      <c r="A164" s="273" t="s">
        <v>36</v>
      </c>
      <c r="B164" s="273"/>
      <c r="C164" s="273"/>
      <c r="D164" s="287"/>
      <c r="E164" s="287"/>
      <c r="F164" s="287"/>
      <c r="G164" s="287"/>
      <c r="H164" s="287"/>
      <c r="I164" s="287" t="s">
        <v>126</v>
      </c>
      <c r="J164" s="287"/>
      <c r="K164" s="287"/>
      <c r="L164" s="287"/>
      <c r="M164" s="287"/>
      <c r="N164" s="287"/>
    </row>
    <row r="165" spans="1:14" s="257" customFormat="1" ht="16" x14ac:dyDescent="0.2">
      <c r="A165" s="273" t="s">
        <v>253</v>
      </c>
      <c r="B165" s="273"/>
      <c r="C165" s="273"/>
      <c r="D165" s="287"/>
      <c r="E165" s="287"/>
      <c r="F165" s="287" t="s">
        <v>126</v>
      </c>
      <c r="G165" s="287" t="s">
        <v>126</v>
      </c>
      <c r="H165" s="287" t="s">
        <v>126</v>
      </c>
      <c r="I165" s="287" t="s">
        <v>126</v>
      </c>
      <c r="J165" s="287" t="s">
        <v>126</v>
      </c>
      <c r="K165" s="287" t="s">
        <v>126</v>
      </c>
      <c r="L165" s="287" t="s">
        <v>126</v>
      </c>
      <c r="M165" s="287" t="s">
        <v>126</v>
      </c>
      <c r="N165" s="287" t="s">
        <v>126</v>
      </c>
    </row>
    <row r="166" spans="1:14" s="257" customFormat="1" ht="16" x14ac:dyDescent="0.2">
      <c r="A166" s="273" t="s">
        <v>42</v>
      </c>
      <c r="B166" s="273"/>
      <c r="C166" s="273"/>
      <c r="D166" s="287"/>
      <c r="E166" s="287"/>
      <c r="F166" s="287"/>
      <c r="G166" s="287"/>
      <c r="H166" s="287"/>
      <c r="I166" s="287" t="s">
        <v>126</v>
      </c>
      <c r="J166" s="287"/>
      <c r="K166" s="287"/>
      <c r="L166" s="287"/>
      <c r="M166" s="287" t="s">
        <v>126</v>
      </c>
      <c r="N166" s="287"/>
    </row>
    <row r="167" spans="1:14" s="257" customFormat="1" ht="16" x14ac:dyDescent="0.2">
      <c r="A167" s="273" t="s">
        <v>43</v>
      </c>
      <c r="B167" s="273"/>
      <c r="C167" s="273"/>
      <c r="D167" s="287"/>
      <c r="E167" s="287"/>
      <c r="F167" s="287"/>
      <c r="G167" s="287"/>
      <c r="H167" s="287"/>
      <c r="I167" s="287" t="s">
        <v>126</v>
      </c>
      <c r="J167" s="287" t="s">
        <v>126</v>
      </c>
      <c r="K167" s="287"/>
      <c r="L167" s="287"/>
      <c r="M167" s="287"/>
      <c r="N167" s="287"/>
    </row>
    <row r="168" spans="1:14" s="257" customFormat="1" ht="16" x14ac:dyDescent="0.2">
      <c r="A168" s="261"/>
    </row>
    <row r="169" spans="1:14" s="257" customFormat="1" ht="16" x14ac:dyDescent="0.2">
      <c r="A169" s="261"/>
    </row>
    <row r="170" spans="1:14" s="257" customFormat="1" ht="17.25" customHeight="1" x14ac:dyDescent="0.2">
      <c r="A170" s="261"/>
    </row>
    <row r="171" spans="1:14" s="308" customFormat="1" ht="63" customHeight="1" x14ac:dyDescent="0.2">
      <c r="A171" s="329" t="s">
        <v>114</v>
      </c>
      <c r="B171" s="329"/>
      <c r="C171" s="329"/>
      <c r="D171" s="329"/>
    </row>
    <row r="172" spans="1:14" s="257" customFormat="1" ht="63" customHeight="1" x14ac:dyDescent="0.2">
      <c r="A172" s="321" t="s">
        <v>97</v>
      </c>
      <c r="B172" s="332"/>
      <c r="C172" s="320" t="s">
        <v>81</v>
      </c>
      <c r="D172" s="320"/>
      <c r="E172" s="320" t="s">
        <v>98</v>
      </c>
      <c r="F172" s="320"/>
      <c r="G172" s="293" t="s">
        <v>99</v>
      </c>
    </row>
    <row r="173" spans="1:14" s="257" customFormat="1" ht="63" customHeight="1" x14ac:dyDescent="0.2">
      <c r="A173" s="320" t="s">
        <v>326</v>
      </c>
      <c r="B173" s="320"/>
      <c r="C173" s="294" t="s">
        <v>328</v>
      </c>
      <c r="D173" s="294"/>
      <c r="E173" s="315">
        <v>2.5538743854473939E-2</v>
      </c>
      <c r="F173" s="316"/>
      <c r="G173" s="294" t="s">
        <v>264</v>
      </c>
    </row>
    <row r="174" spans="1:14" s="257" customFormat="1" ht="84" customHeight="1" x14ac:dyDescent="0.2">
      <c r="A174" s="320" t="s">
        <v>327</v>
      </c>
      <c r="B174" s="320"/>
      <c r="C174" s="294" t="s">
        <v>84</v>
      </c>
      <c r="D174" s="294"/>
      <c r="E174" s="315">
        <v>150</v>
      </c>
      <c r="F174" s="316"/>
      <c r="G174" s="294" t="s">
        <v>265</v>
      </c>
    </row>
    <row r="175" spans="1:14" s="257" customFormat="1" ht="42" customHeight="1" x14ac:dyDescent="0.2">
      <c r="A175" s="320" t="s">
        <v>266</v>
      </c>
      <c r="B175" s="320"/>
      <c r="C175" s="294" t="s">
        <v>85</v>
      </c>
      <c r="D175" s="294"/>
      <c r="E175" s="315">
        <v>17.245000000000001</v>
      </c>
      <c r="F175" s="316"/>
      <c r="G175" s="295"/>
    </row>
    <row r="176" spans="1:14" s="257" customFormat="1" ht="63" customHeight="1" x14ac:dyDescent="0.2">
      <c r="A176" s="320" t="s">
        <v>267</v>
      </c>
      <c r="B176" s="320"/>
      <c r="C176" s="294" t="s">
        <v>329</v>
      </c>
      <c r="D176" s="294"/>
      <c r="E176" s="315">
        <v>5</v>
      </c>
      <c r="F176" s="316"/>
      <c r="G176" s="295"/>
    </row>
    <row r="177" spans="1:7" s="257" customFormat="1" ht="63" customHeight="1" x14ac:dyDescent="0.2">
      <c r="A177" s="320" t="s">
        <v>268</v>
      </c>
      <c r="B177" s="320"/>
      <c r="C177" s="294" t="s">
        <v>86</v>
      </c>
      <c r="D177" s="294"/>
      <c r="E177" s="315">
        <v>8.52</v>
      </c>
      <c r="F177" s="316"/>
      <c r="G177" s="295"/>
    </row>
    <row r="178" spans="1:7" s="257" customFormat="1" ht="63" customHeight="1" x14ac:dyDescent="0.2">
      <c r="A178" s="320" t="s">
        <v>269</v>
      </c>
      <c r="B178" s="320"/>
      <c r="C178" s="322" t="s">
        <v>270</v>
      </c>
      <c r="D178" s="322"/>
      <c r="E178" s="315">
        <v>489.5</v>
      </c>
      <c r="F178" s="316"/>
      <c r="G178" s="295"/>
    </row>
    <row r="179" spans="1:7" s="257" customFormat="1" ht="63" customHeight="1" x14ac:dyDescent="0.2">
      <c r="A179" s="320" t="s">
        <v>271</v>
      </c>
      <c r="B179" s="321"/>
      <c r="C179" s="296"/>
      <c r="D179" s="297"/>
      <c r="E179" s="319">
        <v>8.3999999999999986</v>
      </c>
      <c r="F179" s="316"/>
      <c r="G179" s="295"/>
    </row>
    <row r="180" spans="1:7" s="257" customFormat="1" ht="63" customHeight="1" x14ac:dyDescent="0.2">
      <c r="A180" s="322" t="s">
        <v>272</v>
      </c>
      <c r="B180" s="322"/>
      <c r="C180" s="323" t="s">
        <v>87</v>
      </c>
      <c r="D180" s="323"/>
      <c r="E180" s="315">
        <v>15</v>
      </c>
      <c r="F180" s="316"/>
      <c r="G180" s="295"/>
    </row>
    <row r="181" spans="1:7" s="257" customFormat="1" ht="17" x14ac:dyDescent="0.2">
      <c r="A181" s="298" t="s">
        <v>273</v>
      </c>
      <c r="B181" s="299"/>
      <c r="C181" s="300" t="s">
        <v>367</v>
      </c>
      <c r="D181" s="265"/>
      <c r="E181" s="315">
        <v>11.5</v>
      </c>
      <c r="F181" s="316"/>
      <c r="G181" s="295"/>
    </row>
    <row r="182" spans="1:7" s="257" customFormat="1" ht="42" customHeight="1" x14ac:dyDescent="0.2">
      <c r="A182" s="323" t="s">
        <v>274</v>
      </c>
      <c r="B182" s="324"/>
      <c r="C182" s="301"/>
      <c r="D182" s="300"/>
      <c r="E182" s="319">
        <v>0.45</v>
      </c>
      <c r="F182" s="316"/>
      <c r="G182" s="295"/>
    </row>
    <row r="183" spans="1:7" s="257" customFormat="1" ht="63" customHeight="1" x14ac:dyDescent="0.2">
      <c r="A183" s="320" t="s">
        <v>275</v>
      </c>
      <c r="B183" s="321"/>
      <c r="C183" s="301"/>
      <c r="D183" s="300"/>
      <c r="E183" s="319">
        <v>2.94</v>
      </c>
      <c r="F183" s="316"/>
      <c r="G183" s="295"/>
    </row>
    <row r="184" spans="1:7" s="257" customFormat="1" ht="42" customHeight="1" x14ac:dyDescent="0.2">
      <c r="A184" s="322" t="s">
        <v>276</v>
      </c>
      <c r="B184" s="325"/>
      <c r="C184" s="296"/>
      <c r="D184" s="297"/>
      <c r="E184" s="319">
        <v>0.95</v>
      </c>
      <c r="F184" s="316"/>
      <c r="G184" s="295"/>
    </row>
    <row r="185" spans="1:7" s="257" customFormat="1" ht="17" x14ac:dyDescent="0.2">
      <c r="A185" s="298" t="s">
        <v>277</v>
      </c>
      <c r="B185" s="299"/>
      <c r="C185" s="302" t="s">
        <v>88</v>
      </c>
      <c r="D185" s="303"/>
      <c r="E185" s="315">
        <v>110</v>
      </c>
      <c r="F185" s="316"/>
      <c r="G185" s="295"/>
    </row>
    <row r="186" spans="1:7" s="257" customFormat="1" ht="105" customHeight="1" x14ac:dyDescent="0.2">
      <c r="A186" s="323" t="s">
        <v>278</v>
      </c>
      <c r="B186" s="323"/>
      <c r="C186" s="294" t="s">
        <v>279</v>
      </c>
      <c r="D186" s="294"/>
      <c r="E186" s="315">
        <v>0.59450000000000003</v>
      </c>
      <c r="F186" s="316"/>
      <c r="G186" s="295"/>
    </row>
    <row r="187" spans="1:7" s="257" customFormat="1" ht="63" customHeight="1" x14ac:dyDescent="0.2">
      <c r="A187" s="320" t="s">
        <v>280</v>
      </c>
      <c r="B187" s="320"/>
      <c r="C187" s="265" t="s">
        <v>281</v>
      </c>
      <c r="D187" s="265"/>
      <c r="E187" s="315">
        <v>0.1358</v>
      </c>
      <c r="F187" s="316"/>
      <c r="G187" s="295"/>
    </row>
    <row r="188" spans="1:7" s="257" customFormat="1" ht="42" customHeight="1" x14ac:dyDescent="0.2">
      <c r="A188" s="322" t="s">
        <v>282</v>
      </c>
      <c r="B188" s="325"/>
      <c r="C188" s="301"/>
      <c r="D188" s="300"/>
      <c r="E188" s="317">
        <v>0.79</v>
      </c>
      <c r="F188" s="318"/>
      <c r="G188" s="295"/>
    </row>
    <row r="189" spans="1:7" s="257" customFormat="1" ht="17" x14ac:dyDescent="0.2">
      <c r="A189" s="298" t="s">
        <v>283</v>
      </c>
      <c r="B189" s="304"/>
      <c r="C189" s="296"/>
      <c r="D189" s="297"/>
      <c r="E189" s="319">
        <v>3.73</v>
      </c>
      <c r="F189" s="316"/>
      <c r="G189" s="303"/>
    </row>
    <row r="190" spans="1:7" s="257" customFormat="1" ht="16" x14ac:dyDescent="0.2">
      <c r="A190" s="261"/>
    </row>
    <row r="191" spans="1:7" s="257" customFormat="1" ht="16" x14ac:dyDescent="0.2">
      <c r="A191" s="261"/>
    </row>
    <row r="192" spans="1:7" s="308" customFormat="1" ht="16" x14ac:dyDescent="0.2">
      <c r="A192" s="308" t="s">
        <v>129</v>
      </c>
    </row>
    <row r="193" spans="1:3" s="257" customFormat="1" ht="32" customHeight="1" x14ac:dyDescent="0.2">
      <c r="B193" s="343" t="s">
        <v>128</v>
      </c>
      <c r="C193" s="343"/>
    </row>
    <row r="194" spans="1:3" s="257" customFormat="1" ht="34" x14ac:dyDescent="0.2">
      <c r="A194" s="305" t="s">
        <v>127</v>
      </c>
      <c r="B194" s="306" t="s">
        <v>330</v>
      </c>
      <c r="C194" s="306" t="s">
        <v>331</v>
      </c>
    </row>
    <row r="195" spans="1:3" s="257" customFormat="1" ht="34" x14ac:dyDescent="0.2">
      <c r="A195" s="305" t="s">
        <v>284</v>
      </c>
      <c r="B195" s="270">
        <v>40</v>
      </c>
      <c r="C195" s="270">
        <v>80</v>
      </c>
    </row>
    <row r="196" spans="1:3" s="257" customFormat="1" ht="34" x14ac:dyDescent="0.2">
      <c r="A196" s="305" t="s">
        <v>285</v>
      </c>
      <c r="B196" s="270">
        <v>5</v>
      </c>
      <c r="C196" s="270">
        <v>20</v>
      </c>
    </row>
    <row r="197" spans="1:3" s="257" customFormat="1" ht="31.5" customHeight="1" x14ac:dyDescent="0.2">
      <c r="A197" s="305" t="s">
        <v>286</v>
      </c>
      <c r="B197" s="270">
        <v>15</v>
      </c>
      <c r="C197" s="270">
        <v>30</v>
      </c>
    </row>
    <row r="198" spans="1:3" s="257" customFormat="1" ht="42" customHeight="1" x14ac:dyDescent="0.2">
      <c r="A198" s="305" t="s">
        <v>287</v>
      </c>
      <c r="B198" s="270">
        <v>15</v>
      </c>
      <c r="C198" s="270">
        <v>30</v>
      </c>
    </row>
    <row r="199" spans="1:3" s="257" customFormat="1" ht="17" x14ac:dyDescent="0.2">
      <c r="A199" s="305" t="s">
        <v>288</v>
      </c>
      <c r="B199" s="270">
        <v>15</v>
      </c>
      <c r="C199" s="270">
        <v>30</v>
      </c>
    </row>
    <row r="200" spans="1:3" s="257" customFormat="1" ht="17" x14ac:dyDescent="0.2">
      <c r="A200" s="305" t="s">
        <v>289</v>
      </c>
      <c r="B200" s="270">
        <v>15</v>
      </c>
      <c r="C200" s="270">
        <v>30</v>
      </c>
    </row>
    <row r="201" spans="1:3" s="257" customFormat="1" ht="16" x14ac:dyDescent="0.2">
      <c r="A201" s="307" t="s">
        <v>290</v>
      </c>
      <c r="B201" s="270">
        <v>5</v>
      </c>
      <c r="C201" s="270">
        <v>15</v>
      </c>
    </row>
    <row r="202" spans="1:3" s="257" customFormat="1" ht="16" x14ac:dyDescent="0.2">
      <c r="A202" s="307" t="s">
        <v>291</v>
      </c>
      <c r="B202" s="270">
        <v>20</v>
      </c>
      <c r="C202" s="270">
        <v>30</v>
      </c>
    </row>
    <row r="203" spans="1:3" s="257" customFormat="1" ht="16" x14ac:dyDescent="0.2">
      <c r="A203" s="307" t="s">
        <v>292</v>
      </c>
      <c r="B203" s="270">
        <v>14</v>
      </c>
      <c r="C203" s="270">
        <v>42</v>
      </c>
    </row>
    <row r="204" spans="1:3" s="257" customFormat="1" ht="16" x14ac:dyDescent="0.2">
      <c r="A204" s="307" t="s">
        <v>293</v>
      </c>
      <c r="B204" s="270">
        <v>3</v>
      </c>
      <c r="C204" s="270">
        <v>10</v>
      </c>
    </row>
    <row r="205" spans="1:3" s="257" customFormat="1" ht="16" x14ac:dyDescent="0.2">
      <c r="A205" s="307" t="s">
        <v>294</v>
      </c>
      <c r="B205" s="270">
        <v>20</v>
      </c>
      <c r="C205" s="270">
        <v>52</v>
      </c>
    </row>
    <row r="206" spans="1:3" s="257" customFormat="1" ht="17" x14ac:dyDescent="0.2">
      <c r="A206" s="305" t="s">
        <v>295</v>
      </c>
      <c r="B206" s="270">
        <f>SUM(B195:B205)</f>
        <v>167</v>
      </c>
      <c r="C206" s="270">
        <f>SUM(C195:C205)</f>
        <v>369</v>
      </c>
    </row>
    <row r="207" spans="1:3" s="257" customFormat="1" ht="16" x14ac:dyDescent="0.2">
      <c r="A207" s="261"/>
    </row>
  </sheetData>
  <mergeCells count="102">
    <mergeCell ref="B193:C193"/>
    <mergeCell ref="A46:R46"/>
    <mergeCell ref="A47:S48"/>
    <mergeCell ref="A50:S50"/>
    <mergeCell ref="A8:S8"/>
    <mergeCell ref="A9:S9"/>
    <mergeCell ref="A73:C73"/>
    <mergeCell ref="A16:C16"/>
    <mergeCell ref="A17:E17"/>
    <mergeCell ref="A19:D19"/>
    <mergeCell ref="A21:D21"/>
    <mergeCell ref="A12:O12"/>
    <mergeCell ref="A32:K32"/>
    <mergeCell ref="A18:F18"/>
    <mergeCell ref="A26:D26"/>
    <mergeCell ref="A62:I62"/>
    <mergeCell ref="A49:H49"/>
    <mergeCell ref="A52:S52"/>
    <mergeCell ref="A53:S53"/>
    <mergeCell ref="A60:E60"/>
    <mergeCell ref="A23:D23"/>
    <mergeCell ref="A29:D29"/>
    <mergeCell ref="A22:F22"/>
    <mergeCell ref="A69:C69"/>
    <mergeCell ref="A6:S6"/>
    <mergeCell ref="A1:S1"/>
    <mergeCell ref="A2:S2"/>
    <mergeCell ref="A3:S3"/>
    <mergeCell ref="A4:S4"/>
    <mergeCell ref="A5:S5"/>
    <mergeCell ref="A7:S7"/>
    <mergeCell ref="A10:S10"/>
    <mergeCell ref="A13:S13"/>
    <mergeCell ref="A63:S63"/>
    <mergeCell ref="A61:S61"/>
    <mergeCell ref="A74:S74"/>
    <mergeCell ref="A70:S70"/>
    <mergeCell ref="A51:S51"/>
    <mergeCell ref="A55:S55"/>
    <mergeCell ref="A56:S56"/>
    <mergeCell ref="A57:S57"/>
    <mergeCell ref="A58:S58"/>
    <mergeCell ref="A59:S59"/>
    <mergeCell ref="A64:S64"/>
    <mergeCell ref="A68:S68"/>
    <mergeCell ref="A82:S82"/>
    <mergeCell ref="A84:S84"/>
    <mergeCell ref="A71:S71"/>
    <mergeCell ref="A72:S72"/>
    <mergeCell ref="A77:S77"/>
    <mergeCell ref="A78:S78"/>
    <mergeCell ref="A79:S79"/>
    <mergeCell ref="A80:S80"/>
    <mergeCell ref="A83:D83"/>
    <mergeCell ref="A81:S81"/>
    <mergeCell ref="A76:B76"/>
    <mergeCell ref="A75:E75"/>
    <mergeCell ref="A88:S88"/>
    <mergeCell ref="A94:S94"/>
    <mergeCell ref="E172:F172"/>
    <mergeCell ref="E173:F173"/>
    <mergeCell ref="E174:F174"/>
    <mergeCell ref="E175:F175"/>
    <mergeCell ref="C172:D172"/>
    <mergeCell ref="A172:B172"/>
    <mergeCell ref="A85:S85"/>
    <mergeCell ref="A86:S86"/>
    <mergeCell ref="A87:S87"/>
    <mergeCell ref="A92:E92"/>
    <mergeCell ref="E179:F179"/>
    <mergeCell ref="E180:F180"/>
    <mergeCell ref="E181:F181"/>
    <mergeCell ref="E182:F182"/>
    <mergeCell ref="E183:F183"/>
    <mergeCell ref="E184:F184"/>
    <mergeCell ref="A93:C93"/>
    <mergeCell ref="A151:C151"/>
    <mergeCell ref="A171:D171"/>
    <mergeCell ref="E185:F185"/>
    <mergeCell ref="E186:F186"/>
    <mergeCell ref="E187:F187"/>
    <mergeCell ref="E188:F188"/>
    <mergeCell ref="E189:F189"/>
    <mergeCell ref="A173:B173"/>
    <mergeCell ref="A174:B174"/>
    <mergeCell ref="A175:B175"/>
    <mergeCell ref="A176:B176"/>
    <mergeCell ref="A177:B177"/>
    <mergeCell ref="A178:B178"/>
    <mergeCell ref="A179:B179"/>
    <mergeCell ref="A180:B180"/>
    <mergeCell ref="A182:B182"/>
    <mergeCell ref="A183:B183"/>
    <mergeCell ref="A184:B184"/>
    <mergeCell ref="A186:B186"/>
    <mergeCell ref="A187:B187"/>
    <mergeCell ref="A188:B188"/>
    <mergeCell ref="C180:D180"/>
    <mergeCell ref="C178:D178"/>
    <mergeCell ref="E176:F176"/>
    <mergeCell ref="E177:F177"/>
    <mergeCell ref="E178:F178"/>
  </mergeCells>
  <hyperlinks>
    <hyperlink ref="A10" location="Calculator!A1" display="Go to the Calculator tab next" xr:uid="{00000000-0004-0000-0100-000000000000}"/>
    <hyperlink ref="A202" location="Calculator!A1" display="Back to the Calculator tab" xr:uid="{00000000-0004-0000-0100-000001000000}"/>
    <hyperlink ref="A16:C16" location="Menu!A44" display="Vineyard Acreage" xr:uid="{00000000-0004-0000-0100-000002000000}"/>
    <hyperlink ref="A17:E17" location="Menu!A50" display="Crop Productuion" xr:uid="{00000000-0004-0000-0100-000003000000}"/>
    <hyperlink ref="A18:F18" location="Menu!A52" display="Labor Hours at full produciton" xr:uid="{00000000-0004-0000-0100-000004000000}"/>
    <hyperlink ref="A19:D19" location="Menu!A55" display="Planting density" xr:uid="{00000000-0004-0000-0100-000005000000}"/>
    <hyperlink ref="A20" location="Menu!A57" display="Cost of Capital/ Discount Rate" xr:uid="{00000000-0004-0000-0100-000006000000}"/>
    <hyperlink ref="A21:D21" location="Menu!A59" display="Deer Fence" xr:uid="{00000000-0004-0000-0100-000007000000}"/>
    <hyperlink ref="A22:F22" location="Menu!A64" display="Crop Value/ Price per Ton" xr:uid="{00000000-0004-0000-0100-000008000000}"/>
    <hyperlink ref="A23:D23" location="Menu!A66" display="Labor Rate" xr:uid="{00000000-0004-0000-0100-000009000000}"/>
    <hyperlink ref="A26:D26" location="Menu!A71" display="Trellis" xr:uid="{00000000-0004-0000-0100-00000A000000}"/>
    <hyperlink ref="A29:D29" location="Menu!A88" display="Spray Costs" xr:uid="{00000000-0004-0000-0100-00000B000000}"/>
    <hyperlink ref="A30" location="Menu!A164" display="Material Costs" xr:uid="{00000000-0004-0000-0100-00000C000000}"/>
    <hyperlink ref="B14" r:id="rId1" display="□&quot;Question and Answer Guide for Starting and Growing Your Small Business,&quot; VCE publication 310-100; https://pubs.ext.vt.edu/310/310-100/310-100_pdf.pdf" xr:uid="{00000000-0004-0000-0100-00000D000000}"/>
    <hyperlink ref="B15" r:id="rId2" display="□ &quot;Successful Farm Startup for Beginners: Virginia Beginning Farmer and Rancher Coalition Program,&quot; VCE publicaiton AEE-67P; https://pubs.ext.vt.edu/AEE/AEE-67/AEE-67-PDF.pdf" xr:uid="{00000000-0004-0000-0100-00000E000000}"/>
    <hyperlink ref="A24:XFD24" location="Menu!A75" display="Row Length" xr:uid="{00000000-0004-0000-0100-00000F000000}"/>
    <hyperlink ref="A25:XFD25" location="Menu!A75" display="Tabs (Worksheets) in the Vineyard Financial Calculator" xr:uid="{00000000-0004-0000-0100-000010000000}"/>
    <hyperlink ref="A28:XFD28" location="Menu!A92" display="Appendices: " xr:uid="{00000000-0004-0000-0100-000011000000}"/>
    <hyperlink ref="A16:XFD16" location="Menu!A54" display="Vineyard Acreage" xr:uid="{00000000-0004-0000-0100-000012000000}"/>
    <hyperlink ref="A17:XFD17" location="Menu!A57" display="Crop Production" xr:uid="{00000000-0004-0000-0100-000013000000}"/>
    <hyperlink ref="A18:XFD18" location="Menu!A60" display="Labor Hours at Full Production" xr:uid="{00000000-0004-0000-0100-000014000000}"/>
    <hyperlink ref="A19:XFD19" location="Menu!A62" display="Vine Density" xr:uid="{00000000-0004-0000-0100-000015000000}"/>
    <hyperlink ref="A20:XFD20" location="Menu!A64" display="Cost of Capital/Discount Rate" xr:uid="{00000000-0004-0000-0100-000016000000}"/>
    <hyperlink ref="A21:XFD21" location="Menu!A69" display="Deer Fence" xr:uid="{00000000-0004-0000-0100-000017000000}"/>
    <hyperlink ref="A22:XFD22" location="Menu!A71" display="Crop Value/Price per Ton" xr:uid="{00000000-0004-0000-0100-000018000000}"/>
    <hyperlink ref="A23:XFD23" location="Menu!A73" display="Labor Rate" xr:uid="{00000000-0004-0000-0100-000019000000}"/>
    <hyperlink ref="A26:XFD26" location="Menu!A81" display="Trellis" xr:uid="{00000000-0004-0000-0100-00001A000000}"/>
    <hyperlink ref="A27:XFD27" location="Menu!A86" display="Equipment" xr:uid="{00000000-0004-0000-0100-00001B000000}"/>
    <hyperlink ref="A29:XFD29" location="Menu!A96" display="Spray Costs" xr:uid="{00000000-0004-0000-0100-00001C000000}"/>
    <hyperlink ref="A30:XFD30" location="Menu!A175" display="Trellis Material Costs" xr:uid="{00000000-0004-0000-0100-00001D000000}"/>
    <hyperlink ref="A31:XFD31" location="Menu!A205" display="Labor Estimates" xr:uid="{00000000-0004-0000-0100-00001E000000}"/>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O64"/>
  <sheetViews>
    <sheetView showGridLines="0" workbookViewId="0">
      <selection activeCell="A44" sqref="A44"/>
    </sheetView>
  </sheetViews>
  <sheetFormatPr baseColWidth="10" defaultColWidth="8.83203125" defaultRowHeight="15" x14ac:dyDescent="0.2"/>
  <cols>
    <col min="1" max="1" width="11.5" customWidth="1"/>
    <col min="2" max="2" width="51.5" customWidth="1"/>
    <col min="3" max="3" width="11.83203125" customWidth="1"/>
    <col min="4" max="4" width="13.1640625" bestFit="1" customWidth="1"/>
    <col min="12" max="12" width="9.1640625" customWidth="1"/>
  </cols>
  <sheetData>
    <row r="1" spans="1:14" s="13" customFormat="1" ht="14" x14ac:dyDescent="0.15">
      <c r="A1" s="43" t="s">
        <v>0</v>
      </c>
      <c r="B1" s="358" t="s">
        <v>154</v>
      </c>
      <c r="C1" s="359"/>
      <c r="D1" s="360"/>
      <c r="E1" s="32"/>
      <c r="F1" s="32"/>
      <c r="G1" s="32"/>
      <c r="H1" s="32"/>
      <c r="I1" s="32"/>
      <c r="J1" s="32"/>
      <c r="K1" s="32"/>
      <c r="L1" s="32"/>
      <c r="M1" s="32"/>
      <c r="N1" s="32"/>
    </row>
    <row r="2" spans="1:14" ht="15" customHeight="1" x14ac:dyDescent="0.2">
      <c r="A2" s="363" t="s">
        <v>155</v>
      </c>
      <c r="B2" s="363"/>
      <c r="C2" s="363"/>
      <c r="D2" s="26"/>
      <c r="E2" s="1"/>
      <c r="F2" s="1"/>
      <c r="G2" s="1"/>
      <c r="H2" s="1"/>
      <c r="I2" s="1"/>
      <c r="J2" s="1"/>
      <c r="K2" s="1"/>
      <c r="L2" s="1"/>
      <c r="M2" s="1"/>
      <c r="N2" s="1"/>
    </row>
    <row r="3" spans="1:14" ht="28.5" customHeight="1" x14ac:dyDescent="0.2">
      <c r="A3" s="27"/>
      <c r="B3" s="27"/>
      <c r="C3" s="223" t="s">
        <v>64</v>
      </c>
      <c r="D3" s="28" t="s">
        <v>65</v>
      </c>
      <c r="E3" s="1"/>
      <c r="F3" s="1"/>
      <c r="G3" s="1"/>
      <c r="H3" s="1"/>
      <c r="I3" s="1"/>
      <c r="J3" s="1"/>
      <c r="K3" s="1"/>
      <c r="L3" s="1"/>
      <c r="M3" s="1"/>
      <c r="N3" s="1"/>
    </row>
    <row r="4" spans="1:14" x14ac:dyDescent="0.2">
      <c r="A4" s="355" t="s">
        <v>61</v>
      </c>
      <c r="B4" s="356"/>
      <c r="C4" s="29">
        <v>9</v>
      </c>
      <c r="D4" s="30">
        <v>5</v>
      </c>
      <c r="E4" s="1"/>
      <c r="F4" s="1"/>
      <c r="G4" s="1"/>
      <c r="H4" s="1"/>
      <c r="I4" s="1"/>
      <c r="J4" s="1"/>
      <c r="K4" s="1"/>
      <c r="L4" s="1"/>
      <c r="M4" s="1"/>
      <c r="N4" s="1"/>
    </row>
    <row r="5" spans="1:14" x14ac:dyDescent="0.2">
      <c r="A5" s="361" t="s">
        <v>332</v>
      </c>
      <c r="B5" s="362"/>
      <c r="C5" s="31">
        <f>' Trellis '!B40</f>
        <v>968</v>
      </c>
      <c r="D5" s="32"/>
      <c r="E5" s="1"/>
      <c r="F5" s="1"/>
      <c r="G5" s="1"/>
      <c r="H5" s="1"/>
      <c r="I5" s="1"/>
      <c r="J5" s="1"/>
      <c r="K5" s="1"/>
      <c r="L5" s="1"/>
      <c r="M5" s="1"/>
      <c r="N5" s="1"/>
    </row>
    <row r="6" spans="1:14" x14ac:dyDescent="0.2">
      <c r="A6" s="351" t="s">
        <v>5</v>
      </c>
      <c r="B6" s="352"/>
      <c r="C6" s="33">
        <v>500</v>
      </c>
      <c r="D6" s="32"/>
      <c r="E6" s="1"/>
      <c r="F6" s="1"/>
      <c r="G6" s="1"/>
      <c r="H6" s="1"/>
      <c r="I6" s="1"/>
      <c r="J6" s="1"/>
      <c r="K6" s="1"/>
      <c r="L6" s="1"/>
      <c r="M6" s="1"/>
      <c r="N6" s="1"/>
    </row>
    <row r="7" spans="1:14" ht="21" x14ac:dyDescent="0.25">
      <c r="A7" s="351" t="s">
        <v>8</v>
      </c>
      <c r="B7" s="352"/>
      <c r="C7" s="33" t="s">
        <v>4</v>
      </c>
      <c r="D7" s="32"/>
      <c r="E7" s="1"/>
      <c r="F7" s="1"/>
      <c r="G7" s="1"/>
      <c r="H7" s="1"/>
      <c r="I7" s="1"/>
      <c r="J7" s="5"/>
      <c r="K7" s="1"/>
      <c r="L7" s="1"/>
      <c r="M7" s="1"/>
      <c r="N7" s="1"/>
    </row>
    <row r="8" spans="1:14" x14ac:dyDescent="0.2">
      <c r="A8" s="355" t="s">
        <v>6</v>
      </c>
      <c r="B8" s="356"/>
      <c r="C8" s="34"/>
      <c r="D8" s="32"/>
      <c r="E8" s="1"/>
      <c r="F8" s="1"/>
      <c r="G8" s="1"/>
      <c r="H8" s="1"/>
      <c r="I8" s="1"/>
      <c r="J8" s="1"/>
      <c r="K8" s="1"/>
      <c r="L8" s="1"/>
      <c r="M8" s="1"/>
      <c r="N8" s="1"/>
    </row>
    <row r="9" spans="1:14" x14ac:dyDescent="0.2">
      <c r="A9" s="353"/>
      <c r="B9" s="354"/>
      <c r="C9" s="29">
        <v>30</v>
      </c>
      <c r="D9" s="32"/>
      <c r="E9" s="1"/>
      <c r="F9" s="1"/>
      <c r="G9" s="1"/>
      <c r="H9" s="1"/>
      <c r="I9" s="1"/>
      <c r="J9" s="1"/>
      <c r="K9" s="1"/>
      <c r="L9" s="1"/>
      <c r="M9" s="1"/>
      <c r="N9" s="1"/>
    </row>
    <row r="10" spans="1:14" x14ac:dyDescent="0.2">
      <c r="A10" s="351" t="s">
        <v>334</v>
      </c>
      <c r="B10" s="352"/>
      <c r="C10" s="29">
        <v>1.5</v>
      </c>
      <c r="D10" s="32"/>
      <c r="E10" s="1"/>
      <c r="F10" s="1"/>
      <c r="G10" s="1"/>
      <c r="H10" s="1"/>
      <c r="I10" s="1"/>
      <c r="J10" s="1"/>
      <c r="K10" s="1"/>
      <c r="L10" s="1"/>
      <c r="M10" s="1"/>
      <c r="N10" s="1"/>
    </row>
    <row r="11" spans="1:14" x14ac:dyDescent="0.2">
      <c r="A11" s="357" t="s">
        <v>333</v>
      </c>
      <c r="B11" s="357"/>
      <c r="C11" s="171">
        <f>(C10*' Trellis '!B50)/2000</f>
        <v>3.75</v>
      </c>
      <c r="D11" s="32"/>
      <c r="E11" s="1"/>
      <c r="F11" s="1"/>
      <c r="G11" s="1"/>
      <c r="H11" s="1"/>
      <c r="I11" s="1"/>
      <c r="J11" s="1"/>
      <c r="K11" s="1"/>
      <c r="L11" s="1"/>
      <c r="M11" s="1"/>
      <c r="N11" s="1"/>
    </row>
    <row r="12" spans="1:14" x14ac:dyDescent="0.2">
      <c r="A12" s="351" t="s">
        <v>7</v>
      </c>
      <c r="B12" s="352"/>
      <c r="C12" s="35">
        <v>2000</v>
      </c>
      <c r="D12" s="36"/>
      <c r="E12" s="1"/>
      <c r="F12" s="1"/>
      <c r="G12" s="1"/>
      <c r="H12" s="1"/>
      <c r="I12" s="1"/>
      <c r="J12" s="1"/>
      <c r="K12" s="1"/>
      <c r="L12" s="1"/>
      <c r="M12" s="1"/>
      <c r="N12" s="1"/>
    </row>
    <row r="13" spans="1:14" x14ac:dyDescent="0.2">
      <c r="A13" s="351" t="s">
        <v>156</v>
      </c>
      <c r="B13" s="352"/>
      <c r="C13" s="37">
        <v>300</v>
      </c>
      <c r="D13" s="32"/>
      <c r="E13" s="1"/>
      <c r="F13" s="1"/>
      <c r="G13" s="1"/>
      <c r="H13" s="1"/>
      <c r="I13" s="1"/>
      <c r="J13" s="1"/>
      <c r="K13" s="1"/>
      <c r="L13" s="1"/>
      <c r="M13" s="1"/>
      <c r="N13" s="1"/>
    </row>
    <row r="14" spans="1:14" x14ac:dyDescent="0.2">
      <c r="A14" s="351" t="s">
        <v>157</v>
      </c>
      <c r="B14" s="352"/>
      <c r="C14" s="38">
        <v>13.5</v>
      </c>
      <c r="D14" s="13"/>
      <c r="E14" s="1"/>
      <c r="F14" s="1"/>
      <c r="G14" s="1"/>
      <c r="H14" s="1"/>
      <c r="I14" s="1"/>
      <c r="J14" s="1"/>
      <c r="K14" s="1"/>
      <c r="L14" s="1"/>
      <c r="M14" s="1"/>
      <c r="N14" s="1"/>
    </row>
    <row r="15" spans="1:14" x14ac:dyDescent="0.2">
      <c r="A15" s="353" t="s">
        <v>335</v>
      </c>
      <c r="B15" s="354"/>
      <c r="C15" s="35">
        <v>1000</v>
      </c>
      <c r="D15" s="32"/>
      <c r="E15" s="1"/>
      <c r="F15" s="1"/>
      <c r="G15" s="1"/>
      <c r="H15" s="1"/>
      <c r="I15" s="1"/>
      <c r="J15" s="1"/>
      <c r="K15" s="1"/>
      <c r="L15" s="1"/>
      <c r="M15" s="1"/>
      <c r="N15" s="1"/>
    </row>
    <row r="16" spans="1:14" x14ac:dyDescent="0.2">
      <c r="A16" s="351" t="s">
        <v>17</v>
      </c>
      <c r="B16" s="352"/>
      <c r="C16" s="39">
        <v>0.06</v>
      </c>
      <c r="D16" s="32"/>
      <c r="E16" s="1"/>
      <c r="F16" s="1"/>
      <c r="G16" s="1"/>
      <c r="H16" s="1"/>
      <c r="I16" s="1"/>
      <c r="J16" s="1"/>
      <c r="K16" s="1"/>
      <c r="L16" s="1"/>
      <c r="M16" s="1"/>
      <c r="N16" s="1"/>
    </row>
    <row r="17" spans="1:15" ht="32" customHeight="1" thickBot="1" x14ac:dyDescent="0.25">
      <c r="A17" s="32"/>
      <c r="B17" s="40"/>
      <c r="C17" s="32"/>
      <c r="D17" s="32"/>
      <c r="E17" s="1"/>
      <c r="F17" s="1"/>
      <c r="G17" s="1"/>
      <c r="H17" s="1"/>
      <c r="I17" s="1"/>
      <c r="J17" s="1"/>
      <c r="K17" s="1"/>
      <c r="L17" s="1"/>
      <c r="M17" s="1"/>
      <c r="N17" s="1"/>
    </row>
    <row r="18" spans="1:15" ht="78" customHeight="1" thickBot="1" x14ac:dyDescent="0.25">
      <c r="A18" s="32"/>
      <c r="B18" s="40"/>
      <c r="C18" s="32"/>
      <c r="D18" s="165"/>
      <c r="E18" s="367" t="s">
        <v>336</v>
      </c>
      <c r="F18" s="368"/>
      <c r="G18" s="368"/>
      <c r="H18" s="368"/>
      <c r="I18" s="368"/>
      <c r="J18" s="368"/>
      <c r="K18" s="369"/>
      <c r="L18" s="1"/>
      <c r="M18" s="1"/>
      <c r="N18" s="1"/>
    </row>
    <row r="19" spans="1:15" x14ac:dyDescent="0.2">
      <c r="A19" s="32"/>
      <c r="B19" s="41"/>
      <c r="C19" s="32"/>
      <c r="D19" s="166"/>
      <c r="E19" s="4"/>
      <c r="F19" s="4"/>
      <c r="G19" s="1"/>
      <c r="H19" s="1"/>
      <c r="I19" s="1"/>
      <c r="J19" s="1"/>
      <c r="K19" s="1"/>
      <c r="L19" s="1"/>
      <c r="M19" s="1"/>
      <c r="N19" s="1"/>
    </row>
    <row r="20" spans="1:15" x14ac:dyDescent="0.2">
      <c r="A20" s="1"/>
      <c r="B20" s="3"/>
      <c r="C20" s="1"/>
      <c r="D20" s="1"/>
      <c r="E20" s="1"/>
      <c r="F20" s="1"/>
      <c r="G20" s="1"/>
      <c r="H20" s="1"/>
      <c r="I20" s="1"/>
      <c r="J20" s="1"/>
      <c r="K20" s="1"/>
      <c r="L20" s="1"/>
      <c r="M20" s="1"/>
      <c r="N20" s="1"/>
    </row>
    <row r="21" spans="1:15" ht="12" customHeight="1" x14ac:dyDescent="0.2">
      <c r="A21" s="1"/>
      <c r="B21" s="172"/>
      <c r="C21" s="172"/>
      <c r="D21" s="172"/>
      <c r="E21" s="172"/>
      <c r="F21" s="172"/>
      <c r="G21" s="172"/>
      <c r="H21" s="172"/>
      <c r="I21" s="172"/>
      <c r="J21" s="172"/>
      <c r="K21" s="172"/>
      <c r="L21" s="172"/>
      <c r="M21" s="172"/>
      <c r="N21" s="172"/>
    </row>
    <row r="22" spans="1:15" ht="45.75" customHeight="1" x14ac:dyDescent="0.2">
      <c r="A22" s="1"/>
      <c r="B22" s="172"/>
      <c r="C22" s="172"/>
      <c r="D22" s="172"/>
      <c r="E22" s="370"/>
      <c r="F22" s="370"/>
      <c r="G22" s="370"/>
      <c r="H22" s="370"/>
      <c r="I22" s="370"/>
      <c r="J22" s="370"/>
      <c r="K22" s="370"/>
      <c r="L22" s="370"/>
      <c r="M22" s="370"/>
      <c r="N22" s="370"/>
      <c r="O22" s="42"/>
    </row>
    <row r="23" spans="1:15" x14ac:dyDescent="0.2">
      <c r="B23" s="3"/>
      <c r="C23" s="1"/>
      <c r="D23" s="1"/>
      <c r="E23" s="8"/>
      <c r="F23" s="8"/>
      <c r="G23" s="8"/>
      <c r="H23" s="8"/>
      <c r="I23" s="8"/>
      <c r="J23" s="8"/>
      <c r="K23" s="8"/>
      <c r="L23" s="8"/>
      <c r="M23" s="8"/>
      <c r="N23" s="1"/>
    </row>
    <row r="24" spans="1:15" ht="16" x14ac:dyDescent="0.2">
      <c r="B24" s="7"/>
      <c r="C24" s="1"/>
      <c r="D24" s="1"/>
      <c r="E24" s="1"/>
      <c r="F24" s="1"/>
      <c r="G24" s="1"/>
      <c r="H24" s="1"/>
      <c r="I24" s="1"/>
      <c r="J24" s="1"/>
      <c r="K24" s="1"/>
      <c r="L24" s="1"/>
      <c r="M24" s="1"/>
      <c r="N24" s="1"/>
    </row>
    <row r="25" spans="1:15" x14ac:dyDescent="0.2">
      <c r="A25" s="1"/>
      <c r="B25" s="3"/>
      <c r="C25" s="1"/>
      <c r="D25" s="1"/>
      <c r="E25" s="1"/>
      <c r="F25" s="1"/>
      <c r="G25" s="1"/>
      <c r="H25" s="1"/>
      <c r="I25" s="1"/>
      <c r="J25" s="1"/>
      <c r="K25" s="1"/>
      <c r="L25" s="1"/>
      <c r="M25" s="1"/>
      <c r="N25" s="1"/>
    </row>
    <row r="26" spans="1:15" x14ac:dyDescent="0.2">
      <c r="A26" s="1"/>
      <c r="B26" s="1"/>
      <c r="C26" s="1"/>
      <c r="D26" s="1"/>
      <c r="E26" s="1"/>
      <c r="F26" s="1"/>
      <c r="G26" s="1"/>
      <c r="H26" s="1"/>
      <c r="I26" s="1"/>
      <c r="J26" s="1"/>
      <c r="K26" s="1"/>
      <c r="L26" s="1"/>
      <c r="M26" s="1"/>
      <c r="N26" s="1"/>
    </row>
    <row r="40" spans="1:5" ht="60" customHeight="1" thickBot="1" x14ac:dyDescent="0.25"/>
    <row r="41" spans="1:5" ht="57.75" customHeight="1" thickBot="1" x14ac:dyDescent="0.25">
      <c r="A41" s="364" t="s">
        <v>158</v>
      </c>
      <c r="B41" s="365"/>
      <c r="C41" s="365"/>
      <c r="D41" s="365"/>
      <c r="E41" s="366"/>
    </row>
    <row r="43" spans="1:5" x14ac:dyDescent="0.2">
      <c r="B43" s="2"/>
    </row>
    <row r="44" spans="1:5" x14ac:dyDescent="0.2">
      <c r="C44" s="2"/>
    </row>
    <row r="47" spans="1:5" ht="15" customHeight="1" x14ac:dyDescent="0.2">
      <c r="A47" s="2"/>
    </row>
    <row r="51" spans="1:3" x14ac:dyDescent="0.2">
      <c r="A51" s="1"/>
      <c r="B51" s="1"/>
      <c r="C51" s="1"/>
    </row>
    <row r="52" spans="1:3" ht="24.75" customHeight="1" x14ac:dyDescent="0.2">
      <c r="A52" s="161"/>
      <c r="B52" s="1"/>
      <c r="C52" s="1"/>
    </row>
    <row r="53" spans="1:3" x14ac:dyDescent="0.2">
      <c r="A53" s="161"/>
      <c r="B53" s="1"/>
      <c r="C53" s="1"/>
    </row>
    <row r="54" spans="1:3" x14ac:dyDescent="0.2">
      <c r="A54" s="161"/>
      <c r="B54" s="1"/>
      <c r="C54" s="1"/>
    </row>
    <row r="55" spans="1:3" x14ac:dyDescent="0.2">
      <c r="A55" s="161"/>
      <c r="B55" s="1"/>
      <c r="C55" s="1"/>
    </row>
    <row r="56" spans="1:3" x14ac:dyDescent="0.2">
      <c r="A56" s="161"/>
      <c r="B56" s="1"/>
      <c r="C56" s="1"/>
    </row>
    <row r="57" spans="1:3" x14ac:dyDescent="0.2">
      <c r="A57" s="161"/>
      <c r="B57" s="1"/>
      <c r="C57" s="6"/>
    </row>
    <row r="58" spans="1:3" x14ac:dyDescent="0.2">
      <c r="A58" s="161"/>
      <c r="B58" s="1"/>
      <c r="C58" s="1"/>
    </row>
    <row r="59" spans="1:3" x14ac:dyDescent="0.2">
      <c r="A59" s="161"/>
      <c r="B59" s="1"/>
      <c r="C59" s="1"/>
    </row>
    <row r="60" spans="1:3" x14ac:dyDescent="0.2">
      <c r="A60" s="161"/>
      <c r="B60" s="1"/>
      <c r="C60" s="1"/>
    </row>
    <row r="61" spans="1:3" x14ac:dyDescent="0.2">
      <c r="A61" s="161"/>
      <c r="B61" s="1"/>
      <c r="C61" s="1"/>
    </row>
    <row r="62" spans="1:3" x14ac:dyDescent="0.2">
      <c r="A62" s="161"/>
      <c r="B62" s="1"/>
      <c r="C62" s="1"/>
    </row>
    <row r="63" spans="1:3" x14ac:dyDescent="0.2">
      <c r="A63" s="161"/>
      <c r="B63" s="1"/>
      <c r="C63" s="1"/>
    </row>
    <row r="64" spans="1:3" x14ac:dyDescent="0.2">
      <c r="A64" s="161"/>
      <c r="B64" s="1"/>
      <c r="C64" s="1"/>
    </row>
  </sheetData>
  <mergeCells count="17">
    <mergeCell ref="A41:E41"/>
    <mergeCell ref="E18:K18"/>
    <mergeCell ref="E22:N22"/>
    <mergeCell ref="B1:D1"/>
    <mergeCell ref="A4:B4"/>
    <mergeCell ref="A5:B5"/>
    <mergeCell ref="A6:B6"/>
    <mergeCell ref="A2:C2"/>
    <mergeCell ref="A7:B7"/>
    <mergeCell ref="A14:B14"/>
    <mergeCell ref="A15:B15"/>
    <mergeCell ref="A16:B16"/>
    <mergeCell ref="A8:B9"/>
    <mergeCell ref="A10:B10"/>
    <mergeCell ref="A11:B11"/>
    <mergeCell ref="A12:B12"/>
    <mergeCell ref="A13:B13"/>
  </mergeCells>
  <conditionalFormatting sqref="D19">
    <cfRule type="cellIs" dxfId="13" priority="1" operator="lessThan">
      <formula>0</formula>
    </cfRule>
    <cfRule type="cellIs" dxfId="12" priority="2" operator="greaterThan">
      <formula>0.1</formula>
    </cfRule>
  </conditionalFormatting>
  <dataValidations count="1">
    <dataValidation type="list" allowBlank="1" showInputMessage="1" showErrorMessage="1" sqref="C7" xr:uid="{00000000-0002-0000-0200-000000000000}">
      <formula1>$A$50:$A$51</formula1>
    </dataValidation>
  </dataValidations>
  <hyperlinks>
    <hyperlink ref="A10:B10" location="Menu!A50" display="Crop production (crop per foot of row){suggested values:1-2 lbs.}" xr:uid="{00000000-0004-0000-0200-000000000000}"/>
    <hyperlink ref="A12:B12" location="Menu!A64" display="Price per ton" xr:uid="{00000000-0004-0000-0200-000001000000}"/>
    <hyperlink ref="A13:B13" location="Menu!A52" display="Labor hours per acre at full production {Estimated 200-400 hours}" xr:uid="{00000000-0004-0000-0200-000002000000}"/>
    <hyperlink ref="A14:B14" location="Menu!A66" display="Labor rate (per hour)" xr:uid="{00000000-0004-0000-0200-000003000000}"/>
    <hyperlink ref="A15:B15" location="Menu!A88" display="Spray costs (fuel and materials) {$500 - $1,500/per acre/per year}" xr:uid="{00000000-0004-0000-0200-000004000000}"/>
    <hyperlink ref="A16:B16" location="Menu!A57" display="Cost of capital" xr:uid="{00000000-0004-0000-0200-000005000000}"/>
    <hyperlink ref="A4:B4" location="Menu!A55" display="Vine density (feet)" xr:uid="{00000000-0004-0000-0200-000006000000}"/>
    <hyperlink ref="A7:B7" location="Menu!A59" display="Deer fence (yes, no)" xr:uid="{00000000-0004-0000-0200-000007000000}"/>
    <hyperlink ref="A6:B6" location="Menu!A68" display="Row length (feet)" xr:uid="{00000000-0004-0000-0200-000008000000}"/>
    <hyperlink ref="A8:B9" location="Menu!A44" display="Acres" xr:uid="{00000000-0004-0000-0200-000009000000}"/>
  </hyperlink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98168889431442"/>
  </sheetPr>
  <dimension ref="A1:R99"/>
  <sheetViews>
    <sheetView showGridLines="0" workbookViewId="0">
      <selection activeCell="A91" sqref="A91"/>
    </sheetView>
  </sheetViews>
  <sheetFormatPr baseColWidth="10" defaultColWidth="9.1640625" defaultRowHeight="14" x14ac:dyDescent="0.15"/>
  <cols>
    <col min="1" max="1" width="32.5" style="13" customWidth="1"/>
    <col min="2" max="2" width="34.5" style="13" bestFit="1" customWidth="1"/>
    <col min="3" max="3" width="10.6640625" style="13" bestFit="1" customWidth="1"/>
    <col min="4" max="4" width="12.5" style="13" bestFit="1" customWidth="1"/>
    <col min="5" max="11" width="9.1640625" style="13"/>
    <col min="12" max="12" width="12.5" style="13" bestFit="1" customWidth="1"/>
    <col min="13" max="16384" width="9.1640625" style="13"/>
  </cols>
  <sheetData>
    <row r="1" spans="1:18" s="125" customFormat="1" ht="57" customHeight="1" x14ac:dyDescent="0.15">
      <c r="A1" s="374" t="s">
        <v>159</v>
      </c>
      <c r="B1" s="374"/>
      <c r="C1" s="374"/>
      <c r="D1" s="374"/>
      <c r="E1" s="374"/>
      <c r="F1" s="374"/>
      <c r="G1" s="374"/>
      <c r="H1" s="374"/>
      <c r="I1" s="374"/>
      <c r="J1" s="374"/>
      <c r="K1" s="374"/>
      <c r="L1" s="374"/>
      <c r="M1" s="374"/>
      <c r="N1" s="374"/>
      <c r="O1" s="162"/>
      <c r="P1" s="162"/>
      <c r="Q1" s="123"/>
      <c r="R1" s="124"/>
    </row>
    <row r="3" spans="1:18" x14ac:dyDescent="0.15">
      <c r="A3" s="69" t="s">
        <v>91</v>
      </c>
    </row>
    <row r="4" spans="1:18" x14ac:dyDescent="0.15">
      <c r="A4" s="69" t="s">
        <v>165</v>
      </c>
    </row>
    <row r="5" spans="1:18" x14ac:dyDescent="0.15">
      <c r="B5" s="69" t="s">
        <v>160</v>
      </c>
      <c r="C5" s="126">
        <v>40</v>
      </c>
      <c r="D5" s="13" t="s">
        <v>161</v>
      </c>
    </row>
    <row r="6" spans="1:18" x14ac:dyDescent="0.15">
      <c r="B6" s="69" t="s">
        <v>122</v>
      </c>
      <c r="C6" s="127">
        <v>1</v>
      </c>
      <c r="D6" s="69" t="s">
        <v>162</v>
      </c>
      <c r="E6" s="69"/>
      <c r="F6" s="69"/>
      <c r="G6" s="69"/>
      <c r="H6" s="69"/>
      <c r="I6" s="69"/>
      <c r="J6" s="69"/>
      <c r="K6" s="69"/>
      <c r="L6" s="69"/>
    </row>
    <row r="8" spans="1:18" x14ac:dyDescent="0.15">
      <c r="A8" s="69" t="s">
        <v>163</v>
      </c>
    </row>
    <row r="9" spans="1:18" x14ac:dyDescent="0.15">
      <c r="B9" s="69" t="s">
        <v>117</v>
      </c>
      <c r="C9" s="76">
        <v>200</v>
      </c>
      <c r="D9" s="69" t="s">
        <v>183</v>
      </c>
      <c r="E9" s="69"/>
      <c r="F9" s="69"/>
      <c r="G9" s="69"/>
      <c r="H9" s="69"/>
      <c r="I9" s="69"/>
    </row>
    <row r="10" spans="1:18" x14ac:dyDescent="0.15">
      <c r="B10" s="69" t="s">
        <v>93</v>
      </c>
      <c r="C10" s="76">
        <v>350</v>
      </c>
      <c r="D10" s="69" t="s">
        <v>164</v>
      </c>
      <c r="E10" s="69"/>
      <c r="F10" s="69"/>
      <c r="G10" s="69"/>
      <c r="H10" s="69"/>
      <c r="I10" s="69"/>
    </row>
    <row r="12" spans="1:18" x14ac:dyDescent="0.15">
      <c r="A12" s="69" t="s">
        <v>13</v>
      </c>
    </row>
    <row r="13" spans="1:18" x14ac:dyDescent="0.15">
      <c r="B13" s="69" t="s">
        <v>94</v>
      </c>
      <c r="C13" s="127">
        <v>1</v>
      </c>
      <c r="D13" s="69" t="s">
        <v>166</v>
      </c>
      <c r="E13" s="69"/>
      <c r="F13" s="69"/>
      <c r="G13" s="69"/>
      <c r="H13" s="69"/>
    </row>
    <row r="14" spans="1:18" x14ac:dyDescent="0.15">
      <c r="B14" s="128" t="s">
        <v>95</v>
      </c>
      <c r="C14" s="127">
        <v>4</v>
      </c>
      <c r="D14" s="69" t="s">
        <v>337</v>
      </c>
      <c r="E14" s="69"/>
      <c r="F14" s="69"/>
      <c r="G14" s="69"/>
      <c r="H14" s="69"/>
      <c r="I14" s="69"/>
      <c r="J14" s="69"/>
      <c r="K14" s="69"/>
      <c r="L14" s="69"/>
      <c r="M14" s="69"/>
    </row>
    <row r="17" spans="1:6" x14ac:dyDescent="0.15">
      <c r="A17" s="69" t="s">
        <v>92</v>
      </c>
    </row>
    <row r="18" spans="1:6" x14ac:dyDescent="0.15">
      <c r="B18" s="69" t="s">
        <v>167</v>
      </c>
      <c r="C18" s="76">
        <v>20</v>
      </c>
      <c r="D18" s="69" t="s">
        <v>168</v>
      </c>
      <c r="E18" s="69"/>
      <c r="F18" s="69"/>
    </row>
    <row r="21" spans="1:6" x14ac:dyDescent="0.15">
      <c r="A21" s="13" t="s">
        <v>96</v>
      </c>
    </row>
    <row r="34" spans="1:3" ht="15" thickBot="1" x14ac:dyDescent="0.2"/>
    <row r="35" spans="1:3" x14ac:dyDescent="0.15">
      <c r="A35" s="129" t="s">
        <v>121</v>
      </c>
      <c r="B35" s="47"/>
    </row>
    <row r="36" spans="1:3" x14ac:dyDescent="0.15">
      <c r="A36" s="44" t="s">
        <v>169</v>
      </c>
      <c r="B36" s="98">
        <f>Calculator!C4</f>
        <v>9</v>
      </c>
    </row>
    <row r="37" spans="1:3" x14ac:dyDescent="0.15">
      <c r="A37" s="44" t="s">
        <v>65</v>
      </c>
      <c r="B37" s="98">
        <f>Calculator!D4</f>
        <v>5</v>
      </c>
    </row>
    <row r="38" spans="1:3" x14ac:dyDescent="0.15">
      <c r="A38" s="44" t="s">
        <v>170</v>
      </c>
      <c r="B38" s="98">
        <f>B36*B37</f>
        <v>45</v>
      </c>
    </row>
    <row r="39" spans="1:3" x14ac:dyDescent="0.15">
      <c r="A39" s="44" t="s">
        <v>171</v>
      </c>
      <c r="B39" s="173">
        <v>43560</v>
      </c>
    </row>
    <row r="40" spans="1:3" x14ac:dyDescent="0.15">
      <c r="A40" s="44" t="s">
        <v>172</v>
      </c>
      <c r="B40" s="173">
        <f>B39/B38</f>
        <v>968</v>
      </c>
    </row>
    <row r="41" spans="1:3" x14ac:dyDescent="0.15">
      <c r="A41" s="130" t="s">
        <v>173</v>
      </c>
      <c r="B41" s="131">
        <v>3.73</v>
      </c>
    </row>
    <row r="42" spans="1:3" ht="15" thickBot="1" x14ac:dyDescent="0.2">
      <c r="A42" s="141" t="s">
        <v>174</v>
      </c>
      <c r="B42" s="142">
        <f>B41*B40</f>
        <v>3610.64</v>
      </c>
    </row>
    <row r="43" spans="1:3" x14ac:dyDescent="0.15">
      <c r="B43" s="67"/>
    </row>
    <row r="44" spans="1:3" ht="15" thickBot="1" x14ac:dyDescent="0.2">
      <c r="B44" s="67"/>
    </row>
    <row r="45" spans="1:3" x14ac:dyDescent="0.15">
      <c r="A45" s="132" t="s">
        <v>72</v>
      </c>
      <c r="B45" s="47"/>
    </row>
    <row r="46" spans="1:3" ht="15" thickBot="1" x14ac:dyDescent="0.2">
      <c r="A46" s="44" t="s">
        <v>5</v>
      </c>
      <c r="B46" s="98">
        <f>Calculator!C6</f>
        <v>500</v>
      </c>
    </row>
    <row r="47" spans="1:3" ht="15" thickBot="1" x14ac:dyDescent="0.2">
      <c r="A47" s="44" t="s">
        <v>175</v>
      </c>
      <c r="B47" s="133">
        <f>C5</f>
        <v>40</v>
      </c>
      <c r="C47" s="13" t="s">
        <v>161</v>
      </c>
    </row>
    <row r="48" spans="1:3" ht="15" thickBot="1" x14ac:dyDescent="0.2">
      <c r="A48" s="44" t="s">
        <v>176</v>
      </c>
      <c r="B48" s="98">
        <f>ROUND((B39/B46)/B36,0)</f>
        <v>10</v>
      </c>
    </row>
    <row r="49" spans="1:5" ht="15" thickBot="1" x14ac:dyDescent="0.2">
      <c r="A49" s="44" t="s">
        <v>177</v>
      </c>
      <c r="B49" s="134">
        <f>C6</f>
        <v>1</v>
      </c>
      <c r="C49" s="13" t="s">
        <v>178</v>
      </c>
    </row>
    <row r="50" spans="1:5" x14ac:dyDescent="0.15">
      <c r="A50" s="44" t="s">
        <v>179</v>
      </c>
      <c r="B50" s="173">
        <f>B48*B46</f>
        <v>5000</v>
      </c>
    </row>
    <row r="51" spans="1:5" x14ac:dyDescent="0.15">
      <c r="A51" s="130" t="s">
        <v>180</v>
      </c>
      <c r="B51" s="131">
        <f>B50*B49</f>
        <v>5000</v>
      </c>
    </row>
    <row r="52" spans="1:5" x14ac:dyDescent="0.15">
      <c r="A52" s="44" t="s">
        <v>2</v>
      </c>
      <c r="B52" s="135">
        <f>Calculator!C14</f>
        <v>13.5</v>
      </c>
    </row>
    <row r="53" spans="1:5" ht="15" thickBot="1" x14ac:dyDescent="0.2">
      <c r="A53" s="44" t="s">
        <v>181</v>
      </c>
      <c r="B53" s="136">
        <f>SUM(B54:B56)</f>
        <v>550</v>
      </c>
    </row>
    <row r="54" spans="1:5" x14ac:dyDescent="0.15">
      <c r="A54" s="44" t="s">
        <v>182</v>
      </c>
      <c r="B54" s="137">
        <f>C9</f>
        <v>200</v>
      </c>
      <c r="C54" s="67"/>
      <c r="D54" s="13" t="s">
        <v>183</v>
      </c>
    </row>
    <row r="55" spans="1:5" ht="15" thickBot="1" x14ac:dyDescent="0.2">
      <c r="A55" s="138" t="s">
        <v>93</v>
      </c>
      <c r="B55" s="139">
        <f>C10</f>
        <v>350</v>
      </c>
      <c r="C55" s="67"/>
      <c r="D55" s="13" t="s">
        <v>164</v>
      </c>
    </row>
    <row r="56" spans="1:5" x14ac:dyDescent="0.15">
      <c r="B56" s="67"/>
    </row>
    <row r="57" spans="1:5" ht="15" thickBot="1" x14ac:dyDescent="0.2">
      <c r="B57" s="67"/>
    </row>
    <row r="58" spans="1:5" x14ac:dyDescent="0.15">
      <c r="A58" s="129" t="s">
        <v>297</v>
      </c>
      <c r="B58" s="47"/>
      <c r="E58" s="32"/>
    </row>
    <row r="59" spans="1:5" x14ac:dyDescent="0.15">
      <c r="A59" s="130" t="s">
        <v>184</v>
      </c>
      <c r="B59" s="140">
        <f>B53*B52</f>
        <v>7425</v>
      </c>
    </row>
    <row r="60" spans="1:5" s="180" customFormat="1" ht="31" thickBot="1" x14ac:dyDescent="0.2">
      <c r="A60" s="178" t="s">
        <v>338</v>
      </c>
      <c r="B60" s="179">
        <f>SUM(B42,B51,B59)</f>
        <v>16035.64</v>
      </c>
    </row>
    <row r="61" spans="1:5" ht="15" thickBot="1" x14ac:dyDescent="0.2">
      <c r="B61" s="67"/>
    </row>
    <row r="62" spans="1:5" x14ac:dyDescent="0.15">
      <c r="A62" s="132" t="s">
        <v>185</v>
      </c>
      <c r="B62" s="47"/>
    </row>
    <row r="63" spans="1:5" x14ac:dyDescent="0.15">
      <c r="A63" s="44" t="s">
        <v>186</v>
      </c>
      <c r="B63" s="173">
        <f>B50*Calculator!C9</f>
        <v>150000</v>
      </c>
    </row>
    <row r="64" spans="1:5" x14ac:dyDescent="0.15">
      <c r="A64" s="44" t="s">
        <v>187</v>
      </c>
      <c r="B64" s="131">
        <f>B59*Calculator!C9</f>
        <v>222750</v>
      </c>
    </row>
    <row r="65" spans="1:3" ht="15" thickBot="1" x14ac:dyDescent="0.2">
      <c r="A65" s="141" t="s">
        <v>188</v>
      </c>
      <c r="B65" s="142">
        <f>B60*Calculator!C9</f>
        <v>481069.19999999995</v>
      </c>
    </row>
    <row r="66" spans="1:3" ht="15" thickBot="1" x14ac:dyDescent="0.2"/>
    <row r="67" spans="1:3" x14ac:dyDescent="0.15">
      <c r="A67" s="132" t="s">
        <v>298</v>
      </c>
      <c r="B67" s="47"/>
    </row>
    <row r="68" spans="1:3" x14ac:dyDescent="0.15">
      <c r="A68" s="44" t="s">
        <v>6</v>
      </c>
      <c r="B68" s="98">
        <f>IF(Calculator!C7="yes",Calculator!C9,0)</f>
        <v>30</v>
      </c>
    </row>
    <row r="69" spans="1:3" x14ac:dyDescent="0.15">
      <c r="A69" s="44" t="s">
        <v>176</v>
      </c>
      <c r="B69" s="98">
        <f>B48</f>
        <v>10</v>
      </c>
    </row>
    <row r="70" spans="1:3" x14ac:dyDescent="0.15">
      <c r="A70" s="44" t="s">
        <v>5</v>
      </c>
      <c r="B70" s="173">
        <f>B46</f>
        <v>500</v>
      </c>
    </row>
    <row r="71" spans="1:3" x14ac:dyDescent="0.15">
      <c r="A71" s="44" t="s">
        <v>339</v>
      </c>
      <c r="B71" s="173">
        <f>B46+(2*B47)</f>
        <v>580</v>
      </c>
    </row>
    <row r="72" spans="1:3" x14ac:dyDescent="0.15">
      <c r="A72" s="44" t="s">
        <v>189</v>
      </c>
      <c r="B72" s="191">
        <f>B68*B69</f>
        <v>300</v>
      </c>
    </row>
    <row r="73" spans="1:3" x14ac:dyDescent="0.15">
      <c r="A73" s="44" t="s">
        <v>190</v>
      </c>
      <c r="B73" s="173">
        <f>B72*B36+(B47*2)</f>
        <v>2780</v>
      </c>
    </row>
    <row r="74" spans="1:3" ht="15" thickBot="1" x14ac:dyDescent="0.2">
      <c r="A74" s="44" t="s">
        <v>191</v>
      </c>
      <c r="B74" s="173">
        <f>(B73*2)+(B71*2)</f>
        <v>6720</v>
      </c>
      <c r="C74" s="13" t="s">
        <v>192</v>
      </c>
    </row>
    <row r="75" spans="1:3" ht="15" thickBot="1" x14ac:dyDescent="0.2">
      <c r="A75" s="44" t="s">
        <v>193</v>
      </c>
      <c r="B75" s="134">
        <f>C13</f>
        <v>1</v>
      </c>
      <c r="C75" s="13" t="s">
        <v>195</v>
      </c>
    </row>
    <row r="76" spans="1:3" ht="15" thickBot="1" x14ac:dyDescent="0.2">
      <c r="A76" s="44" t="s">
        <v>194</v>
      </c>
      <c r="B76" s="181">
        <f>B75*B74</f>
        <v>6720</v>
      </c>
    </row>
    <row r="77" spans="1:3" ht="15" thickBot="1" x14ac:dyDescent="0.2">
      <c r="A77" s="44" t="s">
        <v>196</v>
      </c>
      <c r="B77" s="143">
        <f>C14</f>
        <v>4</v>
      </c>
      <c r="C77" s="13" t="s">
        <v>199</v>
      </c>
    </row>
    <row r="78" spans="1:3" x14ac:dyDescent="0.15">
      <c r="A78" s="44" t="s">
        <v>197</v>
      </c>
      <c r="B78" s="144">
        <f>B77*B74</f>
        <v>26880</v>
      </c>
    </row>
    <row r="79" spans="1:3" x14ac:dyDescent="0.15">
      <c r="A79" s="44" t="s">
        <v>198</v>
      </c>
      <c r="B79" s="131">
        <f>SUM(B75,B77)</f>
        <v>5</v>
      </c>
    </row>
    <row r="80" spans="1:3" ht="15" thickBot="1" x14ac:dyDescent="0.2">
      <c r="A80" s="141" t="s">
        <v>200</v>
      </c>
      <c r="B80" s="142">
        <f>IF(B68&gt;0,B79*B74,0)</f>
        <v>33600</v>
      </c>
    </row>
    <row r="81" spans="1:13" ht="15" thickBot="1" x14ac:dyDescent="0.2">
      <c r="A81" s="65"/>
      <c r="B81" s="145"/>
    </row>
    <row r="82" spans="1:13" ht="15" thickBot="1" x14ac:dyDescent="0.2">
      <c r="A82" s="146" t="s">
        <v>60</v>
      </c>
      <c r="B82" s="147"/>
      <c r="C82" s="148"/>
      <c r="D82" s="190">
        <f>B80+B65</f>
        <v>514669.19999999995</v>
      </c>
    </row>
    <row r="83" spans="1:13" ht="54.75" customHeight="1" thickBot="1" x14ac:dyDescent="0.25">
      <c r="A83" s="371" t="s">
        <v>201</v>
      </c>
      <c r="B83" s="372"/>
      <c r="C83" s="372"/>
      <c r="D83" s="372"/>
      <c r="E83" s="373"/>
    </row>
    <row r="84" spans="1:13" ht="15" customHeight="1" x14ac:dyDescent="0.25">
      <c r="A84" s="149"/>
      <c r="B84" s="17"/>
      <c r="C84" s="17"/>
      <c r="D84" s="17"/>
      <c r="E84" s="103"/>
    </row>
    <row r="85" spans="1:13" ht="15" customHeight="1" x14ac:dyDescent="0.25">
      <c r="A85" s="17"/>
      <c r="B85" s="17"/>
      <c r="C85" s="17"/>
      <c r="D85" s="17"/>
      <c r="E85" s="103"/>
    </row>
    <row r="86" spans="1:13" ht="26.25" customHeight="1" thickBot="1" x14ac:dyDescent="0.2">
      <c r="A86" s="65"/>
      <c r="B86" s="145"/>
    </row>
    <row r="87" spans="1:13" s="117" customFormat="1" ht="51" customHeight="1" thickBot="1" x14ac:dyDescent="0.25">
      <c r="A87" s="371" t="s">
        <v>202</v>
      </c>
      <c r="B87" s="372"/>
      <c r="C87" s="372"/>
      <c r="D87" s="372"/>
      <c r="E87" s="372"/>
      <c r="F87" s="372"/>
      <c r="G87" s="372"/>
      <c r="H87" s="372"/>
      <c r="I87" s="372"/>
      <c r="J87" s="372"/>
      <c r="K87" s="372"/>
      <c r="L87" s="372"/>
      <c r="M87" s="373"/>
    </row>
    <row r="88" spans="1:13" x14ac:dyDescent="0.15">
      <c r="A88" s="65"/>
    </row>
    <row r="89" spans="1:13" x14ac:dyDescent="0.15">
      <c r="A89" s="150" t="s">
        <v>101</v>
      </c>
      <c r="B89" s="182">
        <f>D82</f>
        <v>514669.19999999995</v>
      </c>
      <c r="C89" s="109"/>
      <c r="D89" s="110"/>
      <c r="E89" s="110"/>
      <c r="L89" s="151"/>
    </row>
    <row r="90" spans="1:13" x14ac:dyDescent="0.15">
      <c r="A90" s="150" t="s">
        <v>203</v>
      </c>
      <c r="B90" s="152">
        <v>20</v>
      </c>
      <c r="C90" s="111"/>
      <c r="D90" s="110"/>
      <c r="E90" s="110"/>
    </row>
    <row r="91" spans="1:13" x14ac:dyDescent="0.15">
      <c r="A91" s="150" t="s">
        <v>102</v>
      </c>
      <c r="B91" s="153">
        <v>0</v>
      </c>
      <c r="C91" s="109"/>
      <c r="D91" s="110"/>
      <c r="E91" s="110"/>
    </row>
    <row r="92" spans="1:13" x14ac:dyDescent="0.15">
      <c r="A92" s="150" t="s">
        <v>103</v>
      </c>
      <c r="B92" s="153">
        <f>(B89-B91)/B90</f>
        <v>25733.46</v>
      </c>
      <c r="C92" s="109"/>
      <c r="D92" s="112"/>
      <c r="E92" s="109"/>
      <c r="L92" s="151"/>
    </row>
    <row r="93" spans="1:13" x14ac:dyDescent="0.15">
      <c r="A93" s="13" t="s">
        <v>204</v>
      </c>
      <c r="B93" s="109"/>
      <c r="C93" s="109"/>
      <c r="D93" s="114"/>
      <c r="E93" s="110"/>
    </row>
    <row r="94" spans="1:13" x14ac:dyDescent="0.15">
      <c r="A94" s="113"/>
      <c r="B94" s="109"/>
      <c r="C94" s="109"/>
      <c r="D94" s="115"/>
      <c r="E94" s="115"/>
    </row>
    <row r="95" spans="1:13" x14ac:dyDescent="0.15">
      <c r="A95" s="113"/>
      <c r="B95" s="109"/>
      <c r="C95" s="109"/>
      <c r="D95" s="114"/>
      <c r="E95" s="114"/>
    </row>
    <row r="96" spans="1:13" x14ac:dyDescent="0.15">
      <c r="A96" s="113"/>
      <c r="B96" s="109"/>
      <c r="C96" s="109"/>
      <c r="D96" s="109"/>
      <c r="E96" s="109"/>
    </row>
    <row r="97" spans="1:5" x14ac:dyDescent="0.15">
      <c r="A97" s="113"/>
      <c r="B97" s="109"/>
      <c r="C97" s="109"/>
      <c r="D97" s="110"/>
      <c r="E97" s="110"/>
    </row>
    <row r="98" spans="1:5" x14ac:dyDescent="0.15">
      <c r="A98" s="113"/>
      <c r="B98" s="109"/>
      <c r="C98" s="109"/>
      <c r="D98" s="110"/>
      <c r="E98" s="110"/>
    </row>
    <row r="99" spans="1:5" x14ac:dyDescent="0.15">
      <c r="A99" s="113"/>
      <c r="B99" s="109"/>
      <c r="C99" s="109"/>
      <c r="D99" s="116"/>
      <c r="E99" s="116"/>
    </row>
  </sheetData>
  <protectedRanges>
    <protectedRange sqref="D89 C90 D92:D93 D96" name="Range1"/>
  </protectedRanges>
  <mergeCells count="3">
    <mergeCell ref="A87:M87"/>
    <mergeCell ref="A83:E83"/>
    <mergeCell ref="A1:N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79998168889431442"/>
  </sheetPr>
  <dimension ref="A1:V81"/>
  <sheetViews>
    <sheetView showGridLines="0" workbookViewId="0">
      <selection activeCell="D71" sqref="D71"/>
    </sheetView>
  </sheetViews>
  <sheetFormatPr baseColWidth="10" defaultColWidth="9.1640625" defaultRowHeight="14" x14ac:dyDescent="0.15"/>
  <cols>
    <col min="1" max="1" width="13.1640625" style="13" customWidth="1"/>
    <col min="2" max="2" width="21.5" style="13" customWidth="1"/>
    <col min="3" max="3" width="17.5" style="180" customWidth="1"/>
    <col min="4" max="4" width="9.33203125" style="13" customWidth="1"/>
    <col min="5" max="5" width="14.5" style="13" customWidth="1"/>
    <col min="6" max="6" width="12" style="13" customWidth="1"/>
    <col min="7" max="7" width="9" style="13" hidden="1" customWidth="1"/>
    <col min="8" max="8" width="19.33203125" style="13" bestFit="1" customWidth="1"/>
    <col min="9" max="9" width="21.1640625" style="13" bestFit="1" customWidth="1"/>
    <col min="10" max="10" width="9" style="13" bestFit="1" customWidth="1"/>
    <col min="11" max="11" width="12.5" style="13" customWidth="1"/>
    <col min="12" max="16384" width="9.1640625" style="13"/>
  </cols>
  <sheetData>
    <row r="1" spans="1:11" ht="119.25" customHeight="1" x14ac:dyDescent="0.15">
      <c r="A1" s="377" t="s">
        <v>205</v>
      </c>
      <c r="B1" s="377"/>
      <c r="C1" s="377"/>
      <c r="D1" s="377"/>
      <c r="E1" s="377"/>
      <c r="F1" s="377"/>
      <c r="G1" s="377"/>
      <c r="H1" s="377"/>
      <c r="I1" s="377"/>
      <c r="J1" s="377"/>
      <c r="K1" s="377"/>
    </row>
    <row r="2" spans="1:11" ht="52.5" customHeight="1" x14ac:dyDescent="0.15">
      <c r="A2" s="224" t="s">
        <v>340</v>
      </c>
      <c r="B2" s="225" t="s">
        <v>80</v>
      </c>
      <c r="C2" s="226" t="s">
        <v>81</v>
      </c>
      <c r="D2" s="226" t="s">
        <v>206</v>
      </c>
      <c r="E2" s="227" t="s">
        <v>82</v>
      </c>
      <c r="F2" s="225" t="s">
        <v>104</v>
      </c>
    </row>
    <row r="3" spans="1:11" ht="31.5" customHeight="1" x14ac:dyDescent="0.15">
      <c r="A3" s="75">
        <v>1</v>
      </c>
      <c r="B3" s="76" t="s">
        <v>56</v>
      </c>
      <c r="C3" s="195" t="s">
        <v>344</v>
      </c>
      <c r="D3" s="77">
        <f>C25</f>
        <v>55000</v>
      </c>
      <c r="E3" s="78">
        <f>A3*D3</f>
        <v>55000</v>
      </c>
      <c r="F3" s="79">
        <f>D25</f>
        <v>16000</v>
      </c>
    </row>
    <row r="4" spans="1:11" ht="15" x14ac:dyDescent="0.15">
      <c r="A4" s="75">
        <v>1</v>
      </c>
      <c r="B4" s="76" t="s">
        <v>9</v>
      </c>
      <c r="C4" s="195" t="s">
        <v>207</v>
      </c>
      <c r="D4" s="80">
        <v>8500</v>
      </c>
      <c r="E4" s="78">
        <f t="shared" ref="E4:E10" si="0">A4*D4</f>
        <v>8500</v>
      </c>
      <c r="F4" s="79">
        <f>D27</f>
        <v>3000</v>
      </c>
    </row>
    <row r="5" spans="1:11" ht="15" x14ac:dyDescent="0.15">
      <c r="A5" s="75">
        <v>1</v>
      </c>
      <c r="B5" s="76" t="s">
        <v>52</v>
      </c>
      <c r="C5" s="195" t="s">
        <v>208</v>
      </c>
      <c r="D5" s="80">
        <v>2000</v>
      </c>
      <c r="E5" s="78">
        <f t="shared" si="0"/>
        <v>2000</v>
      </c>
      <c r="F5" s="79">
        <f>D29</f>
        <v>1500</v>
      </c>
    </row>
    <row r="6" spans="1:11" ht="15" x14ac:dyDescent="0.15">
      <c r="A6" s="75">
        <v>1</v>
      </c>
      <c r="B6" s="76" t="s">
        <v>53</v>
      </c>
      <c r="C6" s="195" t="s">
        <v>209</v>
      </c>
      <c r="D6" s="84">
        <v>16000</v>
      </c>
      <c r="E6" s="78">
        <f t="shared" si="0"/>
        <v>16000</v>
      </c>
      <c r="F6" s="79">
        <f>D32</f>
        <v>2000</v>
      </c>
    </row>
    <row r="7" spans="1:11" ht="15" x14ac:dyDescent="0.15">
      <c r="A7" s="75">
        <v>1</v>
      </c>
      <c r="B7" s="76" t="s">
        <v>54</v>
      </c>
      <c r="C7" s="195" t="s">
        <v>208</v>
      </c>
      <c r="D7" s="80">
        <v>2400</v>
      </c>
      <c r="E7" s="78">
        <f t="shared" si="0"/>
        <v>2400</v>
      </c>
      <c r="F7" s="79">
        <f>D33</f>
        <v>2000</v>
      </c>
    </row>
    <row r="8" spans="1:11" ht="30" x14ac:dyDescent="0.15">
      <c r="A8" s="75">
        <v>1</v>
      </c>
      <c r="B8" s="76" t="s">
        <v>55</v>
      </c>
      <c r="C8" s="195" t="s">
        <v>343</v>
      </c>
      <c r="D8" s="80">
        <v>300</v>
      </c>
      <c r="E8" s="78">
        <f t="shared" si="0"/>
        <v>300</v>
      </c>
      <c r="F8" s="76" t="s">
        <v>105</v>
      </c>
    </row>
    <row r="9" spans="1:11" ht="15" x14ac:dyDescent="0.15">
      <c r="A9" s="75">
        <v>40</v>
      </c>
      <c r="B9" s="76" t="s">
        <v>215</v>
      </c>
      <c r="C9" s="195" t="s">
        <v>210</v>
      </c>
      <c r="D9" s="80">
        <v>10</v>
      </c>
      <c r="E9" s="78">
        <f t="shared" si="0"/>
        <v>400</v>
      </c>
      <c r="F9" s="76" t="s">
        <v>105</v>
      </c>
    </row>
    <row r="10" spans="1:11" ht="15" x14ac:dyDescent="0.15">
      <c r="A10" s="75">
        <v>40</v>
      </c>
      <c r="B10" s="76" t="s">
        <v>341</v>
      </c>
      <c r="C10" s="195" t="s">
        <v>342</v>
      </c>
      <c r="D10" s="80">
        <v>380</v>
      </c>
      <c r="E10" s="78">
        <f t="shared" si="0"/>
        <v>15200</v>
      </c>
      <c r="F10" s="76" t="s">
        <v>105</v>
      </c>
    </row>
    <row r="11" spans="1:11" x14ac:dyDescent="0.15">
      <c r="A11" s="75"/>
      <c r="B11" s="76"/>
      <c r="C11" s="195"/>
      <c r="D11" s="80"/>
      <c r="E11" s="78"/>
      <c r="F11" s="76"/>
    </row>
    <row r="12" spans="1:11" x14ac:dyDescent="0.15">
      <c r="A12" s="75"/>
      <c r="B12" s="76"/>
      <c r="C12" s="195"/>
      <c r="D12" s="80"/>
      <c r="E12" s="78"/>
      <c r="F12" s="76"/>
    </row>
    <row r="13" spans="1:11" x14ac:dyDescent="0.15">
      <c r="A13" s="75"/>
      <c r="B13" s="76"/>
      <c r="C13" s="195"/>
      <c r="D13" s="80"/>
      <c r="E13" s="78"/>
      <c r="F13" s="76"/>
    </row>
    <row r="14" spans="1:11" ht="15" thickBot="1" x14ac:dyDescent="0.2">
      <c r="A14" s="85"/>
      <c r="B14" s="86"/>
      <c r="C14" s="196"/>
      <c r="D14" s="87"/>
      <c r="E14" s="88"/>
      <c r="F14" s="76"/>
    </row>
    <row r="15" spans="1:11" ht="19.5" customHeight="1" x14ac:dyDescent="0.15">
      <c r="E15" s="68"/>
    </row>
    <row r="16" spans="1:11" ht="19.5" customHeight="1" thickBot="1" x14ac:dyDescent="0.2"/>
    <row r="17" spans="1:11" ht="19.5" customHeight="1" thickBot="1" x14ac:dyDescent="0.25">
      <c r="A17" s="90" t="s">
        <v>212</v>
      </c>
      <c r="B17" s="90"/>
      <c r="C17" s="197"/>
      <c r="D17" s="91"/>
      <c r="E17" s="92">
        <f>SUM(E3:E3:E14)</f>
        <v>99800</v>
      </c>
    </row>
    <row r="18" spans="1:11" ht="19.5" customHeight="1" x14ac:dyDescent="0.2">
      <c r="A18" s="94" t="s">
        <v>213</v>
      </c>
      <c r="B18" s="46"/>
      <c r="C18" s="198"/>
      <c r="D18" s="46"/>
      <c r="E18" s="95"/>
      <c r="F18" s="47"/>
    </row>
    <row r="19" spans="1:11" ht="19.5" customHeight="1" x14ac:dyDescent="0.2">
      <c r="A19" s="96" t="s">
        <v>58</v>
      </c>
      <c r="B19" s="90"/>
      <c r="C19" s="197"/>
      <c r="D19" s="90"/>
      <c r="E19" s="97"/>
      <c r="F19" s="98"/>
    </row>
    <row r="20" spans="1:11" ht="19.5" customHeight="1" thickBot="1" x14ac:dyDescent="0.25">
      <c r="A20" s="99" t="s">
        <v>59</v>
      </c>
      <c r="B20" s="100"/>
      <c r="C20" s="199"/>
      <c r="D20" s="100"/>
      <c r="E20" s="101"/>
      <c r="F20" s="102"/>
    </row>
    <row r="21" spans="1:11" ht="19.5" customHeight="1" x14ac:dyDescent="0.25">
      <c r="A21" s="17"/>
      <c r="B21" s="17"/>
      <c r="C21" s="200"/>
      <c r="D21" s="17"/>
      <c r="E21" s="103"/>
    </row>
    <row r="22" spans="1:11" ht="19.5" customHeight="1" x14ac:dyDescent="0.25">
      <c r="A22" s="376" t="s">
        <v>214</v>
      </c>
      <c r="B22" s="376"/>
      <c r="C22" s="376"/>
      <c r="D22" s="376"/>
      <c r="E22" s="103"/>
      <c r="H22" s="192"/>
      <c r="I22" s="192"/>
      <c r="J22" s="193"/>
      <c r="K22" s="192"/>
    </row>
    <row r="23" spans="1:11" ht="19.5" customHeight="1" x14ac:dyDescent="0.25">
      <c r="A23" s="376"/>
      <c r="B23" s="376"/>
      <c r="C23" s="376"/>
      <c r="D23" s="376"/>
      <c r="E23" s="103"/>
      <c r="H23" s="192"/>
      <c r="I23" s="192"/>
      <c r="J23" s="193"/>
      <c r="K23" s="192"/>
    </row>
    <row r="24" spans="1:11" ht="63.75" customHeight="1" x14ac:dyDescent="0.25">
      <c r="A24" s="81" t="s">
        <v>80</v>
      </c>
      <c r="B24" s="228" t="s">
        <v>81</v>
      </c>
      <c r="C24" s="229" t="s">
        <v>82</v>
      </c>
      <c r="D24" s="230" t="s">
        <v>83</v>
      </c>
      <c r="E24" s="103"/>
      <c r="H24" s="192"/>
      <c r="I24" s="192"/>
      <c r="J24" s="193"/>
      <c r="K24" s="192"/>
    </row>
    <row r="25" spans="1:11" ht="60" customHeight="1" x14ac:dyDescent="0.25">
      <c r="A25" s="194" t="s">
        <v>56</v>
      </c>
      <c r="B25" s="82" t="s">
        <v>346</v>
      </c>
      <c r="C25" s="201">
        <v>55000</v>
      </c>
      <c r="D25" s="83">
        <v>16000</v>
      </c>
      <c r="E25" s="103"/>
      <c r="H25" s="192"/>
      <c r="I25" s="192"/>
      <c r="J25" s="193"/>
      <c r="K25" s="192"/>
    </row>
    <row r="26" spans="1:11" ht="34.5" customHeight="1" x14ac:dyDescent="0.25">
      <c r="A26" s="194" t="s">
        <v>51</v>
      </c>
      <c r="B26" s="82" t="s">
        <v>346</v>
      </c>
      <c r="C26" s="201">
        <v>40000</v>
      </c>
      <c r="D26" s="83">
        <v>16000</v>
      </c>
      <c r="E26" s="103"/>
      <c r="H26" s="192"/>
      <c r="I26" s="192"/>
      <c r="J26" s="193"/>
      <c r="K26" s="192"/>
    </row>
    <row r="27" spans="1:11" ht="54" customHeight="1" x14ac:dyDescent="0.25">
      <c r="A27" s="194" t="s">
        <v>9</v>
      </c>
      <c r="B27" s="82" t="s">
        <v>207</v>
      </c>
      <c r="C27" s="201">
        <v>8500</v>
      </c>
      <c r="D27" s="83">
        <v>3000</v>
      </c>
      <c r="E27" s="103"/>
      <c r="H27" s="192"/>
      <c r="I27" s="192"/>
      <c r="J27" s="193"/>
      <c r="K27" s="192"/>
    </row>
    <row r="28" spans="1:11" ht="39" customHeight="1" x14ac:dyDescent="0.25">
      <c r="A28" s="194" t="s">
        <v>74</v>
      </c>
      <c r="B28" s="82" t="s">
        <v>347</v>
      </c>
      <c r="C28" s="201">
        <v>1500</v>
      </c>
      <c r="D28" s="83">
        <v>1200</v>
      </c>
      <c r="E28" s="103"/>
      <c r="H28" s="192"/>
      <c r="I28" s="192"/>
      <c r="J28" s="193"/>
      <c r="K28" s="192"/>
    </row>
    <row r="29" spans="1:11" ht="39" customHeight="1" x14ac:dyDescent="0.25">
      <c r="A29" s="194" t="s">
        <v>52</v>
      </c>
      <c r="B29" s="82" t="s">
        <v>208</v>
      </c>
      <c r="C29" s="201">
        <v>2000</v>
      </c>
      <c r="D29" s="83">
        <v>1500</v>
      </c>
      <c r="E29" s="103"/>
      <c r="H29" s="192"/>
      <c r="I29" s="192"/>
      <c r="J29" s="193"/>
      <c r="K29" s="192"/>
    </row>
    <row r="30" spans="1:11" ht="39" customHeight="1" x14ac:dyDescent="0.25">
      <c r="A30" s="194" t="s">
        <v>53</v>
      </c>
      <c r="B30" s="82" t="s">
        <v>46</v>
      </c>
      <c r="C30" s="201">
        <v>5500</v>
      </c>
      <c r="D30" s="83">
        <v>2000</v>
      </c>
      <c r="E30" s="103"/>
      <c r="H30" s="192"/>
      <c r="I30" s="192"/>
      <c r="J30" s="193"/>
      <c r="K30" s="192"/>
    </row>
    <row r="31" spans="1:11" ht="39" customHeight="1" x14ac:dyDescent="0.25">
      <c r="A31" s="194" t="s">
        <v>53</v>
      </c>
      <c r="B31" s="82" t="s">
        <v>45</v>
      </c>
      <c r="C31" s="201">
        <v>11000</v>
      </c>
      <c r="D31" s="83">
        <v>2000</v>
      </c>
      <c r="E31" s="103"/>
      <c r="H31" s="192"/>
      <c r="I31" s="192"/>
      <c r="J31" s="193"/>
      <c r="K31" s="192"/>
    </row>
    <row r="32" spans="1:11" ht="38.25" customHeight="1" x14ac:dyDescent="0.25">
      <c r="A32" s="194" t="s">
        <v>53</v>
      </c>
      <c r="B32" s="82" t="s">
        <v>209</v>
      </c>
      <c r="C32" s="201">
        <v>16000</v>
      </c>
      <c r="D32" s="83">
        <v>2000</v>
      </c>
      <c r="E32" s="103"/>
      <c r="H32" s="192"/>
      <c r="I32" s="192"/>
      <c r="J32" s="193"/>
      <c r="K32" s="192"/>
    </row>
    <row r="33" spans="1:13" ht="40.5" customHeight="1" x14ac:dyDescent="0.25">
      <c r="A33" s="194" t="s">
        <v>54</v>
      </c>
      <c r="B33" s="82" t="s">
        <v>208</v>
      </c>
      <c r="C33" s="201">
        <v>2400</v>
      </c>
      <c r="D33" s="83">
        <v>2000</v>
      </c>
      <c r="E33" s="103"/>
      <c r="H33" s="192"/>
      <c r="I33" s="192"/>
      <c r="J33" s="193"/>
      <c r="K33" s="192"/>
    </row>
    <row r="34" spans="1:13" ht="56.25" customHeight="1" x14ac:dyDescent="0.25">
      <c r="A34" s="194" t="s">
        <v>341</v>
      </c>
      <c r="B34" s="82" t="s">
        <v>342</v>
      </c>
      <c r="C34" s="201">
        <v>380</v>
      </c>
      <c r="D34" s="89" t="s">
        <v>105</v>
      </c>
      <c r="E34" s="103"/>
      <c r="H34" s="192"/>
      <c r="I34" s="192"/>
      <c r="J34" s="193"/>
      <c r="K34" s="192"/>
    </row>
    <row r="35" spans="1:13" ht="54.75" customHeight="1" x14ac:dyDescent="0.25">
      <c r="A35" s="194" t="s">
        <v>215</v>
      </c>
      <c r="B35" s="82" t="s">
        <v>211</v>
      </c>
      <c r="C35" s="201">
        <v>10</v>
      </c>
      <c r="D35" s="89" t="s">
        <v>105</v>
      </c>
      <c r="E35" s="103"/>
      <c r="H35" s="192"/>
      <c r="I35" s="192"/>
      <c r="J35" s="193"/>
      <c r="K35" s="192"/>
    </row>
    <row r="36" spans="1:13" ht="39" customHeight="1" x14ac:dyDescent="0.25">
      <c r="A36" s="194" t="s">
        <v>75</v>
      </c>
      <c r="B36" s="82" t="s">
        <v>208</v>
      </c>
      <c r="C36" s="201">
        <v>2500</v>
      </c>
      <c r="D36" s="89" t="s">
        <v>105</v>
      </c>
      <c r="E36" s="103"/>
      <c r="H36" s="192"/>
      <c r="I36" s="192"/>
      <c r="J36" s="193"/>
      <c r="K36" s="192"/>
    </row>
    <row r="37" spans="1:13" ht="38.25" customHeight="1" x14ac:dyDescent="0.25">
      <c r="A37" s="194" t="s">
        <v>345</v>
      </c>
      <c r="B37" s="82" t="s">
        <v>348</v>
      </c>
      <c r="C37" s="201">
        <v>5000</v>
      </c>
      <c r="D37" s="93">
        <v>2000</v>
      </c>
      <c r="E37" s="103"/>
      <c r="H37" s="192"/>
      <c r="I37" s="192"/>
      <c r="J37" s="193"/>
      <c r="K37" s="192"/>
    </row>
    <row r="38" spans="1:13" ht="39.75" customHeight="1" x14ac:dyDescent="0.25">
      <c r="A38" s="194" t="s">
        <v>76</v>
      </c>
      <c r="B38" s="82" t="s">
        <v>208</v>
      </c>
      <c r="C38" s="201">
        <v>3000</v>
      </c>
      <c r="D38" s="89" t="s">
        <v>105</v>
      </c>
      <c r="E38" s="103"/>
      <c r="H38" s="192"/>
      <c r="I38" s="192"/>
      <c r="J38" s="193"/>
      <c r="K38" s="192"/>
    </row>
    <row r="39" spans="1:13" ht="20.25" customHeight="1" x14ac:dyDescent="0.25">
      <c r="A39" s="194" t="s">
        <v>77</v>
      </c>
      <c r="B39" s="82" t="s">
        <v>208</v>
      </c>
      <c r="C39" s="201">
        <v>10000</v>
      </c>
      <c r="D39" s="89" t="s">
        <v>105</v>
      </c>
      <c r="E39" s="103"/>
      <c r="H39" s="32"/>
      <c r="I39" s="32"/>
      <c r="J39" s="107"/>
      <c r="K39" s="32"/>
    </row>
    <row r="40" spans="1:13" ht="17.25" customHeight="1" thickBot="1" x14ac:dyDescent="0.3">
      <c r="A40" s="194" t="s">
        <v>78</v>
      </c>
      <c r="B40" s="82" t="s">
        <v>208</v>
      </c>
      <c r="C40" s="201">
        <v>1000</v>
      </c>
      <c r="D40" s="93">
        <v>2000</v>
      </c>
      <c r="E40" s="103"/>
      <c r="H40" s="32"/>
      <c r="I40" s="32"/>
      <c r="J40" s="107"/>
      <c r="K40" s="32"/>
    </row>
    <row r="41" spans="1:13" ht="19.5" hidden="1" customHeight="1" x14ac:dyDescent="0.25">
      <c r="A41" s="104" t="s">
        <v>79</v>
      </c>
      <c r="B41" s="105" t="s">
        <v>47</v>
      </c>
      <c r="C41" s="202">
        <v>2000</v>
      </c>
      <c r="D41" s="106">
        <v>1500</v>
      </c>
      <c r="E41" s="103"/>
      <c r="H41" s="32"/>
      <c r="I41" s="32"/>
      <c r="J41" s="107"/>
      <c r="K41" s="32"/>
    </row>
    <row r="42" spans="1:13" ht="19.5" hidden="1" customHeight="1" x14ac:dyDescent="0.25">
      <c r="A42" s="17"/>
      <c r="B42" s="17"/>
      <c r="C42" s="200"/>
      <c r="D42" s="17"/>
      <c r="E42" s="103"/>
      <c r="H42" s="32"/>
      <c r="I42" s="32"/>
      <c r="J42" s="107"/>
      <c r="K42" s="32"/>
    </row>
    <row r="43" spans="1:13" ht="48" customHeight="1" thickBot="1" x14ac:dyDescent="0.25">
      <c r="A43" s="371" t="s">
        <v>216</v>
      </c>
      <c r="B43" s="372"/>
      <c r="C43" s="372"/>
      <c r="D43" s="372"/>
      <c r="E43" s="372"/>
      <c r="F43" s="372"/>
      <c r="G43" s="372"/>
      <c r="H43" s="372"/>
      <c r="I43" s="372"/>
      <c r="J43" s="372"/>
      <c r="K43" s="372"/>
      <c r="L43" s="372"/>
      <c r="M43" s="373"/>
    </row>
    <row r="44" spans="1:13" ht="58" x14ac:dyDescent="0.25">
      <c r="A44" s="160"/>
      <c r="B44" s="232" t="s">
        <v>106</v>
      </c>
      <c r="C44" s="233" t="s">
        <v>53</v>
      </c>
      <c r="D44" s="232" t="s">
        <v>90</v>
      </c>
      <c r="E44" s="234" t="s">
        <v>52</v>
      </c>
      <c r="F44" s="233" t="s">
        <v>9</v>
      </c>
      <c r="G44" s="225"/>
      <c r="H44" s="233" t="s">
        <v>108</v>
      </c>
      <c r="J44" s="108"/>
      <c r="K44" s="17"/>
      <c r="L44" s="103"/>
    </row>
    <row r="45" spans="1:13" x14ac:dyDescent="0.15">
      <c r="A45" s="231" t="s">
        <v>107</v>
      </c>
      <c r="B45" s="206">
        <f>D3</f>
        <v>55000</v>
      </c>
      <c r="C45" s="207">
        <f>D6</f>
        <v>16000</v>
      </c>
      <c r="D45" s="182">
        <f>E7</f>
        <v>2400</v>
      </c>
      <c r="E45" s="208">
        <f>E5</f>
        <v>2000</v>
      </c>
      <c r="F45" s="209">
        <f>D4</f>
        <v>8500</v>
      </c>
      <c r="H45" s="209">
        <f>E10+E9+E8</f>
        <v>15900</v>
      </c>
      <c r="J45" s="109"/>
      <c r="K45" s="109"/>
      <c r="L45" s="110"/>
    </row>
    <row r="46" spans="1:13" x14ac:dyDescent="0.15">
      <c r="A46" s="231" t="s">
        <v>102</v>
      </c>
      <c r="B46" s="210">
        <v>0.1</v>
      </c>
      <c r="C46" s="211">
        <v>0.1</v>
      </c>
      <c r="D46" s="210">
        <v>0.1</v>
      </c>
      <c r="E46" s="210">
        <v>0.1</v>
      </c>
      <c r="F46" s="210">
        <v>0.1</v>
      </c>
      <c r="H46" s="210">
        <v>0</v>
      </c>
      <c r="J46" s="109"/>
      <c r="K46" s="111"/>
      <c r="L46" s="110"/>
    </row>
    <row r="47" spans="1:13" x14ac:dyDescent="0.15">
      <c r="A47" s="231" t="s">
        <v>203</v>
      </c>
      <c r="B47" s="212">
        <f>F67</f>
        <v>28</v>
      </c>
      <c r="C47" s="213">
        <f>F68</f>
        <v>6</v>
      </c>
      <c r="D47" s="212">
        <f>F69</f>
        <v>13</v>
      </c>
      <c r="E47" s="212">
        <f>F70</f>
        <v>17</v>
      </c>
      <c r="F47" s="214">
        <f>F71</f>
        <v>7</v>
      </c>
      <c r="H47" s="214">
        <v>20</v>
      </c>
      <c r="J47" s="109"/>
      <c r="K47" s="109"/>
      <c r="L47" s="110"/>
    </row>
    <row r="48" spans="1:13" x14ac:dyDescent="0.15">
      <c r="A48" s="231" t="s">
        <v>103</v>
      </c>
      <c r="B48" s="215">
        <f t="shared" ref="B48:H48" si="1">(B45-B45*B46)/B47</f>
        <v>1767.8571428571429</v>
      </c>
      <c r="C48" s="216">
        <f t="shared" si="1"/>
        <v>2400</v>
      </c>
      <c r="D48" s="215">
        <f t="shared" si="1"/>
        <v>166.15384615384616</v>
      </c>
      <c r="E48" s="215">
        <f t="shared" si="1"/>
        <v>105.88235294117646</v>
      </c>
      <c r="F48" s="215">
        <f t="shared" si="1"/>
        <v>1092.8571428571429</v>
      </c>
      <c r="G48" s="217" t="e">
        <f t="shared" si="1"/>
        <v>#DIV/0!</v>
      </c>
      <c r="H48" s="215">
        <f t="shared" si="1"/>
        <v>795</v>
      </c>
      <c r="J48" s="109"/>
      <c r="K48" s="109"/>
      <c r="L48" s="112"/>
    </row>
    <row r="49" spans="1:12" x14ac:dyDescent="0.15">
      <c r="A49" s="113"/>
      <c r="B49" s="109"/>
      <c r="C49" s="203"/>
      <c r="D49" s="114"/>
      <c r="E49" s="110"/>
      <c r="J49" s="109"/>
      <c r="K49" s="109"/>
      <c r="L49" s="114"/>
    </row>
    <row r="50" spans="1:12" ht="15" thickBot="1" x14ac:dyDescent="0.2">
      <c r="A50" s="113"/>
      <c r="B50" s="109"/>
      <c r="C50" s="203"/>
      <c r="D50" s="116"/>
      <c r="E50" s="116"/>
      <c r="J50" s="109"/>
      <c r="K50" s="109"/>
      <c r="L50" s="116"/>
    </row>
    <row r="51" spans="1:12" ht="87" customHeight="1" thickBot="1" x14ac:dyDescent="0.25">
      <c r="A51" s="197" t="s">
        <v>62</v>
      </c>
      <c r="B51" s="118">
        <f>SUM(B48,C48,D48,E48,F48,H48)</f>
        <v>6327.7504848093085</v>
      </c>
      <c r="C51" s="13"/>
      <c r="D51" s="97"/>
      <c r="E51" s="117"/>
      <c r="F51" s="117"/>
      <c r="G51" s="117"/>
      <c r="H51" s="117"/>
      <c r="I51" s="117"/>
      <c r="J51" s="117"/>
    </row>
    <row r="52" spans="1:12" ht="19" thickBot="1" x14ac:dyDescent="0.25">
      <c r="A52" s="90"/>
      <c r="B52" s="90"/>
      <c r="C52" s="197"/>
      <c r="D52" s="97"/>
      <c r="E52" s="117"/>
      <c r="F52" s="117"/>
      <c r="G52" s="117"/>
      <c r="H52" s="117"/>
      <c r="I52" s="117"/>
      <c r="J52" s="117"/>
    </row>
    <row r="53" spans="1:12" ht="75.75" customHeight="1" thickBot="1" x14ac:dyDescent="0.25">
      <c r="A53" s="371" t="s">
        <v>349</v>
      </c>
      <c r="B53" s="372"/>
      <c r="C53" s="372"/>
      <c r="D53" s="372"/>
      <c r="E53" s="372"/>
      <c r="F53" s="372"/>
      <c r="G53" s="372"/>
      <c r="H53" s="372"/>
      <c r="I53" s="372"/>
      <c r="J53" s="373"/>
    </row>
    <row r="54" spans="1:12" ht="23" x14ac:dyDescent="0.25">
      <c r="A54" s="17"/>
      <c r="B54" s="17"/>
      <c r="C54" s="200"/>
      <c r="D54" s="103"/>
    </row>
    <row r="55" spans="1:12" ht="23" x14ac:dyDescent="0.25">
      <c r="A55" s="17"/>
      <c r="B55" s="17"/>
      <c r="C55" s="200"/>
      <c r="D55" s="103"/>
    </row>
    <row r="56" spans="1:12" s="65" customFormat="1" ht="23" x14ac:dyDescent="0.25">
      <c r="A56" s="17"/>
      <c r="B56" s="17"/>
      <c r="C56" s="200"/>
      <c r="D56" s="103"/>
      <c r="E56" s="13"/>
      <c r="F56" s="13"/>
      <c r="G56" s="13"/>
    </row>
    <row r="57" spans="1:12" ht="23" x14ac:dyDescent="0.25">
      <c r="A57" s="17"/>
      <c r="B57" s="17"/>
      <c r="C57" s="200"/>
      <c r="D57" s="103"/>
    </row>
    <row r="58" spans="1:12" ht="23" x14ac:dyDescent="0.25">
      <c r="A58" s="17"/>
      <c r="B58" s="17"/>
      <c r="C58" s="200"/>
      <c r="D58" s="103"/>
    </row>
    <row r="59" spans="1:12" ht="23" x14ac:dyDescent="0.25">
      <c r="A59" s="17"/>
      <c r="B59" s="17"/>
      <c r="C59" s="200"/>
      <c r="D59" s="103"/>
    </row>
    <row r="60" spans="1:12" ht="23" x14ac:dyDescent="0.25">
      <c r="A60" s="17"/>
      <c r="B60" s="17"/>
      <c r="C60" s="200"/>
      <c r="D60" s="103"/>
      <c r="I60" s="119"/>
    </row>
    <row r="61" spans="1:12" ht="23" x14ac:dyDescent="0.25">
      <c r="A61" s="17"/>
      <c r="B61" s="17"/>
      <c r="C61" s="200"/>
      <c r="D61" s="103"/>
    </row>
    <row r="62" spans="1:12" ht="23" x14ac:dyDescent="0.25">
      <c r="A62" s="17"/>
      <c r="B62" s="17"/>
      <c r="C62" s="200"/>
      <c r="D62" s="103"/>
    </row>
    <row r="63" spans="1:12" ht="23" x14ac:dyDescent="0.25">
      <c r="A63" s="17"/>
      <c r="B63" s="17"/>
      <c r="C63" s="200"/>
      <c r="D63" s="103"/>
    </row>
    <row r="64" spans="1:12" ht="30" x14ac:dyDescent="0.15">
      <c r="A64" s="120" t="s">
        <v>48</v>
      </c>
      <c r="B64" s="120"/>
      <c r="C64" s="188" t="s">
        <v>49</v>
      </c>
    </row>
    <row r="65" spans="1:22" ht="15" x14ac:dyDescent="0.15">
      <c r="A65" s="121" t="s">
        <v>299</v>
      </c>
      <c r="B65" s="120"/>
      <c r="C65" s="188" t="s">
        <v>299</v>
      </c>
    </row>
    <row r="66" spans="1:22" x14ac:dyDescent="0.15">
      <c r="A66" s="121">
        <v>1</v>
      </c>
      <c r="B66" s="121" t="s">
        <v>217</v>
      </c>
      <c r="C66" s="188">
        <f>Calculator!C9</f>
        <v>30</v>
      </c>
      <c r="D66" s="121" t="s">
        <v>6</v>
      </c>
      <c r="E66" s="121" t="s">
        <v>97</v>
      </c>
      <c r="F66" s="120" t="s">
        <v>50</v>
      </c>
      <c r="G66" s="122">
        <v>20.010000000000002</v>
      </c>
      <c r="H66" s="237"/>
    </row>
    <row r="67" spans="1:22" ht="31" x14ac:dyDescent="0.2">
      <c r="A67" s="34">
        <v>19</v>
      </c>
      <c r="B67" s="34" t="s">
        <v>218</v>
      </c>
      <c r="C67" s="204">
        <f>C66*A67</f>
        <v>570</v>
      </c>
      <c r="D67" s="222" t="s">
        <v>350</v>
      </c>
      <c r="E67" s="235" t="s">
        <v>301</v>
      </c>
      <c r="F67" s="375">
        <f>ROUND($D$25/C67,0)</f>
        <v>28</v>
      </c>
      <c r="G67" s="375"/>
      <c r="H67" s="375"/>
    </row>
    <row r="68" spans="1:22" ht="38" x14ac:dyDescent="0.2">
      <c r="A68" s="34">
        <v>11</v>
      </c>
      <c r="B68" s="34" t="s">
        <v>219</v>
      </c>
      <c r="C68" s="204">
        <f>A68*C66</f>
        <v>330</v>
      </c>
      <c r="D68" s="222" t="s">
        <v>350</v>
      </c>
      <c r="E68" s="236" t="s">
        <v>302</v>
      </c>
      <c r="F68" s="375">
        <f>ROUND(D30/C68,0)</f>
        <v>6</v>
      </c>
      <c r="G68" s="375"/>
      <c r="H68" s="375"/>
    </row>
    <row r="69" spans="1:22" ht="31" x14ac:dyDescent="0.2">
      <c r="A69" s="34">
        <v>5</v>
      </c>
      <c r="B69" s="34" t="s">
        <v>220</v>
      </c>
      <c r="C69" s="204">
        <f>A69*C66</f>
        <v>150</v>
      </c>
      <c r="D69" s="222" t="s">
        <v>350</v>
      </c>
      <c r="E69" s="235" t="s">
        <v>90</v>
      </c>
      <c r="F69" s="375">
        <f>ROUND(D33/C69,0)</f>
        <v>13</v>
      </c>
      <c r="G69" s="375"/>
      <c r="H69" s="375"/>
    </row>
    <row r="70" spans="1:22" ht="38" x14ac:dyDescent="0.2">
      <c r="A70" s="34">
        <v>3</v>
      </c>
      <c r="B70" s="34" t="s">
        <v>221</v>
      </c>
      <c r="C70" s="204">
        <f>A70*C66</f>
        <v>90</v>
      </c>
      <c r="D70" s="222" t="s">
        <v>350</v>
      </c>
      <c r="E70" s="236" t="s">
        <v>52</v>
      </c>
      <c r="F70" s="375">
        <f>ROUND(D29/C70,0)</f>
        <v>17</v>
      </c>
      <c r="G70" s="375"/>
      <c r="H70" s="375"/>
    </row>
    <row r="71" spans="1:22" ht="38" x14ac:dyDescent="0.2">
      <c r="A71" s="34">
        <v>15</v>
      </c>
      <c r="B71" s="34" t="s">
        <v>222</v>
      </c>
      <c r="C71" s="204">
        <f>A71*C66</f>
        <v>450</v>
      </c>
      <c r="D71" s="222" t="s">
        <v>350</v>
      </c>
      <c r="E71" s="236" t="s">
        <v>9</v>
      </c>
      <c r="F71" s="375">
        <f>ROUND(D27/C71,0)</f>
        <v>7</v>
      </c>
      <c r="G71" s="375"/>
      <c r="H71" s="375"/>
    </row>
    <row r="72" spans="1:22" x14ac:dyDescent="0.15">
      <c r="B72" s="13" t="s">
        <v>300</v>
      </c>
    </row>
    <row r="73" spans="1:22" x14ac:dyDescent="0.15">
      <c r="B73" s="13" t="s">
        <v>223</v>
      </c>
    </row>
    <row r="74" spans="1:22" x14ac:dyDescent="0.15">
      <c r="B74" s="13" t="s">
        <v>3</v>
      </c>
    </row>
    <row r="77" spans="1:22" x14ac:dyDescent="0.15">
      <c r="H77" s="65"/>
      <c r="I77" s="65"/>
      <c r="J77" s="65"/>
      <c r="K77" s="65"/>
      <c r="L77" s="65"/>
      <c r="M77" s="65"/>
      <c r="N77" s="65"/>
      <c r="O77" s="65"/>
      <c r="P77" s="65"/>
      <c r="Q77" s="65"/>
      <c r="R77" s="65"/>
      <c r="S77" s="65"/>
      <c r="T77" s="65"/>
      <c r="U77" s="65"/>
      <c r="V77" s="65"/>
    </row>
    <row r="81" spans="1:7" x14ac:dyDescent="0.15">
      <c r="A81" s="65"/>
      <c r="B81" s="65"/>
      <c r="C81" s="205"/>
      <c r="D81" s="65"/>
      <c r="E81" s="65"/>
      <c r="F81" s="65"/>
      <c r="G81" s="65"/>
    </row>
  </sheetData>
  <protectedRanges>
    <protectedRange sqref="D45 D49 L48:L49 L45 K46" name="Range1"/>
  </protectedRanges>
  <mergeCells count="9">
    <mergeCell ref="F71:H71"/>
    <mergeCell ref="A53:J53"/>
    <mergeCell ref="A43:M43"/>
    <mergeCell ref="A22:D23"/>
    <mergeCell ref="A1:K1"/>
    <mergeCell ref="F67:H67"/>
    <mergeCell ref="F68:H68"/>
    <mergeCell ref="F69:H69"/>
    <mergeCell ref="F70:H70"/>
  </mergeCells>
  <conditionalFormatting sqref="F67:F71">
    <cfRule type="cellIs" dxfId="11" priority="1" operator="greaterThan">
      <formula>$G$66</formula>
    </cfRule>
    <cfRule type="cellIs" dxfId="10" priority="2" operator="greaterThan">
      <formula>$G$66</formula>
    </cfRule>
    <cfRule type="cellIs" dxfId="9" priority="3" operator="lessThan">
      <formula>$G$66</formula>
    </cfRule>
    <cfRule type="cellIs" dxfId="8" priority="4" operator="greaterThan">
      <formula>$G$66</formula>
    </cfRule>
  </conditionalFormatting>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W105"/>
  <sheetViews>
    <sheetView showGridLines="0" workbookViewId="0">
      <pane xSplit="1" topLeftCell="B1" activePane="topRight" state="frozen"/>
      <selection activeCell="A26" sqref="A26"/>
      <selection pane="topRight" activeCell="C57" sqref="C57:E57"/>
    </sheetView>
  </sheetViews>
  <sheetFormatPr baseColWidth="10" defaultColWidth="9.1640625" defaultRowHeight="14" x14ac:dyDescent="0.15"/>
  <cols>
    <col min="1" max="1" width="63.5" style="13" bestFit="1" customWidth="1"/>
    <col min="2" max="2" width="19.5" style="13" bestFit="1" customWidth="1"/>
    <col min="3" max="3" width="13.5" style="13" bestFit="1" customWidth="1"/>
    <col min="4" max="5" width="14.5" style="13" bestFit="1" customWidth="1"/>
    <col min="6" max="8" width="16" style="13" bestFit="1" customWidth="1"/>
    <col min="9" max="23" width="15.33203125" style="13" bestFit="1" customWidth="1"/>
    <col min="24" max="16384" width="9.1640625" style="13"/>
  </cols>
  <sheetData>
    <row r="1" spans="1:23" x14ac:dyDescent="0.15">
      <c r="A1" s="381" t="s">
        <v>351</v>
      </c>
      <c r="B1" s="381"/>
      <c r="C1" s="381"/>
      <c r="D1" s="381"/>
      <c r="E1" s="381"/>
      <c r="F1" s="381"/>
      <c r="G1" s="381"/>
      <c r="H1" s="381"/>
      <c r="I1" s="381"/>
    </row>
    <row r="2" spans="1:23" ht="99.75" customHeight="1" x14ac:dyDescent="0.15">
      <c r="A2" s="381"/>
      <c r="B2" s="381"/>
      <c r="C2" s="381"/>
      <c r="D2" s="381"/>
      <c r="E2" s="381"/>
      <c r="F2" s="381"/>
      <c r="G2" s="381"/>
      <c r="H2" s="381"/>
      <c r="I2" s="381"/>
    </row>
    <row r="4" spans="1:23" ht="23.25" customHeight="1" x14ac:dyDescent="0.15"/>
    <row r="5" spans="1:23" s="64" customFormat="1" ht="18" x14ac:dyDescent="0.2">
      <c r="A5" s="64" t="s">
        <v>1</v>
      </c>
      <c r="B5" s="64">
        <v>0</v>
      </c>
      <c r="C5" s="64">
        <v>1</v>
      </c>
      <c r="D5" s="64">
        <v>2</v>
      </c>
      <c r="E5" s="64">
        <v>3</v>
      </c>
      <c r="F5" s="64">
        <v>4</v>
      </c>
      <c r="G5" s="64">
        <v>5</v>
      </c>
      <c r="H5" s="64">
        <v>6</v>
      </c>
      <c r="I5" s="64">
        <v>7</v>
      </c>
      <c r="J5" s="64">
        <v>8</v>
      </c>
      <c r="K5" s="64">
        <v>9</v>
      </c>
      <c r="L5" s="64">
        <v>10</v>
      </c>
      <c r="M5" s="64">
        <v>11</v>
      </c>
      <c r="N5" s="64">
        <v>12</v>
      </c>
      <c r="O5" s="64">
        <v>13</v>
      </c>
      <c r="P5" s="64">
        <v>14</v>
      </c>
      <c r="Q5" s="64">
        <v>15</v>
      </c>
      <c r="R5" s="64">
        <v>16</v>
      </c>
      <c r="S5" s="64">
        <v>17</v>
      </c>
      <c r="T5" s="64">
        <v>18</v>
      </c>
      <c r="U5" s="64">
        <v>19</v>
      </c>
      <c r="V5" s="64">
        <v>20</v>
      </c>
    </row>
    <row r="6" spans="1:23" ht="105.75" customHeight="1" x14ac:dyDescent="0.15">
      <c r="A6" s="65" t="s">
        <v>16</v>
      </c>
      <c r="B6" s="189" t="s">
        <v>224</v>
      </c>
      <c r="C6" s="189" t="s">
        <v>225</v>
      </c>
      <c r="D6" s="189" t="s">
        <v>352</v>
      </c>
      <c r="E6" s="189" t="s">
        <v>89</v>
      </c>
    </row>
    <row r="7" spans="1:23" x14ac:dyDescent="0.15">
      <c r="A7" s="13" t="s">
        <v>118</v>
      </c>
      <c r="B7" s="66">
        <f>Calculator!$C$13/6</f>
        <v>50</v>
      </c>
      <c r="C7" s="66">
        <f>(Calculator!$C$13*0.5)</f>
        <v>150</v>
      </c>
      <c r="D7" s="66">
        <f>Calculator!$C$13*0.75</f>
        <v>225</v>
      </c>
      <c r="E7" s="66">
        <f>Calculator!$C$13</f>
        <v>300</v>
      </c>
      <c r="F7" s="66">
        <f>Calculator!$C$13</f>
        <v>300</v>
      </c>
      <c r="G7" s="66">
        <f>Calculator!$C$13</f>
        <v>300</v>
      </c>
      <c r="H7" s="66">
        <f>Calculator!$C$13</f>
        <v>300</v>
      </c>
      <c r="I7" s="66">
        <f>Calculator!$C$13</f>
        <v>300</v>
      </c>
      <c r="J7" s="66">
        <f>Calculator!$C$13</f>
        <v>300</v>
      </c>
      <c r="K7" s="66">
        <f>Calculator!$C$13</f>
        <v>300</v>
      </c>
      <c r="L7" s="66">
        <f>Calculator!$C$13</f>
        <v>300</v>
      </c>
      <c r="M7" s="66">
        <f>Calculator!$C$13</f>
        <v>300</v>
      </c>
      <c r="N7" s="66">
        <f>Calculator!$C$13</f>
        <v>300</v>
      </c>
      <c r="O7" s="66">
        <f>Calculator!$C$13</f>
        <v>300</v>
      </c>
      <c r="P7" s="66">
        <f>Calculator!$C$13</f>
        <v>300</v>
      </c>
      <c r="Q7" s="66">
        <f>Calculator!$C$13</f>
        <v>300</v>
      </c>
      <c r="R7" s="66">
        <f>Calculator!$C$13</f>
        <v>300</v>
      </c>
      <c r="S7" s="66">
        <f>Calculator!$C$13</f>
        <v>300</v>
      </c>
      <c r="T7" s="66">
        <f>Calculator!$C$13</f>
        <v>300</v>
      </c>
      <c r="U7" s="66">
        <f>Calculator!$C$13</f>
        <v>300</v>
      </c>
      <c r="V7" s="66">
        <f>Calculator!$C$13</f>
        <v>300</v>
      </c>
    </row>
    <row r="8" spans="1:23" x14ac:dyDescent="0.15">
      <c r="A8" s="13" t="s">
        <v>2</v>
      </c>
      <c r="B8" s="67">
        <f>Calculator!$C$14</f>
        <v>13.5</v>
      </c>
      <c r="C8" s="67">
        <f>Calculator!$C$14</f>
        <v>13.5</v>
      </c>
      <c r="D8" s="67">
        <f>Calculator!$C$14</f>
        <v>13.5</v>
      </c>
      <c r="E8" s="67">
        <f>Calculator!$C$14</f>
        <v>13.5</v>
      </c>
      <c r="F8" s="67">
        <f>Calculator!$C$14</f>
        <v>13.5</v>
      </c>
      <c r="G8" s="67">
        <f>Calculator!$C$14</f>
        <v>13.5</v>
      </c>
      <c r="H8" s="67">
        <f>Calculator!$C$14</f>
        <v>13.5</v>
      </c>
      <c r="I8" s="67">
        <f>Calculator!$C$14</f>
        <v>13.5</v>
      </c>
      <c r="J8" s="67">
        <f>Calculator!$C$14</f>
        <v>13.5</v>
      </c>
      <c r="K8" s="67">
        <f>Calculator!$C$14</f>
        <v>13.5</v>
      </c>
      <c r="L8" s="67">
        <f>Calculator!$C$14</f>
        <v>13.5</v>
      </c>
      <c r="M8" s="67">
        <f>Calculator!$C$14</f>
        <v>13.5</v>
      </c>
      <c r="N8" s="67">
        <f>Calculator!$C$14</f>
        <v>13.5</v>
      </c>
      <c r="O8" s="67">
        <f>Calculator!$C$14</f>
        <v>13.5</v>
      </c>
      <c r="P8" s="67">
        <f>Calculator!$C$14</f>
        <v>13.5</v>
      </c>
      <c r="Q8" s="67">
        <f>Calculator!$C$14</f>
        <v>13.5</v>
      </c>
      <c r="R8" s="67">
        <f>Calculator!$C$14</f>
        <v>13.5</v>
      </c>
      <c r="S8" s="67">
        <f>Calculator!$C$14</f>
        <v>13.5</v>
      </c>
      <c r="T8" s="67">
        <f>Calculator!$C$14</f>
        <v>13.5</v>
      </c>
      <c r="U8" s="67">
        <f>Calculator!$C$14</f>
        <v>13.5</v>
      </c>
      <c r="V8" s="67">
        <f>Calculator!$C$14</f>
        <v>13.5</v>
      </c>
    </row>
    <row r="9" spans="1:23" x14ac:dyDescent="0.15">
      <c r="A9" s="13" t="s">
        <v>226</v>
      </c>
      <c r="B9" s="68"/>
      <c r="C9" s="68">
        <f>0.5* Calculator!$C$15</f>
        <v>500</v>
      </c>
      <c r="D9" s="68">
        <f>0.75*Calculator!$C$15</f>
        <v>750</v>
      </c>
      <c r="E9" s="68">
        <f>Calculator!$C$15</f>
        <v>1000</v>
      </c>
      <c r="F9" s="68">
        <f>Calculator!$C$15</f>
        <v>1000</v>
      </c>
      <c r="G9" s="68">
        <f>Calculator!$C$15</f>
        <v>1000</v>
      </c>
      <c r="H9" s="68">
        <f>Calculator!$C$15</f>
        <v>1000</v>
      </c>
      <c r="I9" s="68">
        <f>Calculator!$C$15</f>
        <v>1000</v>
      </c>
      <c r="J9" s="68">
        <f>Calculator!$C$15</f>
        <v>1000</v>
      </c>
      <c r="K9" s="68">
        <f>Calculator!$C$15</f>
        <v>1000</v>
      </c>
      <c r="L9" s="68">
        <f>Calculator!$C$15</f>
        <v>1000</v>
      </c>
      <c r="M9" s="68">
        <f>Calculator!$C$15</f>
        <v>1000</v>
      </c>
      <c r="N9" s="68">
        <f>Calculator!$C$15</f>
        <v>1000</v>
      </c>
      <c r="O9" s="68">
        <f>Calculator!$C$15</f>
        <v>1000</v>
      </c>
      <c r="P9" s="68">
        <f>Calculator!$C$15</f>
        <v>1000</v>
      </c>
      <c r="Q9" s="68">
        <f>Calculator!$C$15</f>
        <v>1000</v>
      </c>
      <c r="R9" s="68">
        <f>Calculator!$C$15</f>
        <v>1000</v>
      </c>
      <c r="S9" s="68">
        <f>Calculator!$C$15</f>
        <v>1000</v>
      </c>
      <c r="T9" s="68">
        <f>Calculator!$C$15</f>
        <v>1000</v>
      </c>
      <c r="U9" s="68">
        <f>Calculator!$C$15</f>
        <v>1000</v>
      </c>
      <c r="V9" s="68">
        <f>Calculator!$C$15</f>
        <v>1000</v>
      </c>
    </row>
    <row r="10" spans="1:23" x14ac:dyDescent="0.15">
      <c r="A10" s="13" t="s">
        <v>227</v>
      </c>
      <c r="B10" s="59">
        <f>(B7*B8)+B9</f>
        <v>675</v>
      </c>
      <c r="C10" s="59">
        <f t="shared" ref="C10:V10" si="0">(C7*C8)+C9</f>
        <v>2525</v>
      </c>
      <c r="D10" s="59">
        <f t="shared" si="0"/>
        <v>3787.5</v>
      </c>
      <c r="E10" s="59">
        <f t="shared" si="0"/>
        <v>5050</v>
      </c>
      <c r="F10" s="59">
        <f t="shared" si="0"/>
        <v>5050</v>
      </c>
      <c r="G10" s="59">
        <f t="shared" si="0"/>
        <v>5050</v>
      </c>
      <c r="H10" s="59">
        <f t="shared" si="0"/>
        <v>5050</v>
      </c>
      <c r="I10" s="59">
        <f t="shared" si="0"/>
        <v>5050</v>
      </c>
      <c r="J10" s="59">
        <f t="shared" si="0"/>
        <v>5050</v>
      </c>
      <c r="K10" s="59">
        <f t="shared" si="0"/>
        <v>5050</v>
      </c>
      <c r="L10" s="59">
        <f t="shared" si="0"/>
        <v>5050</v>
      </c>
      <c r="M10" s="59">
        <f t="shared" si="0"/>
        <v>5050</v>
      </c>
      <c r="N10" s="59">
        <f t="shared" si="0"/>
        <v>5050</v>
      </c>
      <c r="O10" s="59">
        <f t="shared" si="0"/>
        <v>5050</v>
      </c>
      <c r="P10" s="59">
        <f t="shared" si="0"/>
        <v>5050</v>
      </c>
      <c r="Q10" s="59">
        <f t="shared" si="0"/>
        <v>5050</v>
      </c>
      <c r="R10" s="59">
        <f t="shared" si="0"/>
        <v>5050</v>
      </c>
      <c r="S10" s="59">
        <f t="shared" si="0"/>
        <v>5050</v>
      </c>
      <c r="T10" s="59">
        <f t="shared" si="0"/>
        <v>5050</v>
      </c>
      <c r="U10" s="59">
        <f t="shared" si="0"/>
        <v>5050</v>
      </c>
      <c r="V10" s="59">
        <f t="shared" si="0"/>
        <v>5050</v>
      </c>
    </row>
    <row r="11" spans="1:23" s="69" customFormat="1" x14ac:dyDescent="0.15">
      <c r="A11" s="69" t="s">
        <v>228</v>
      </c>
      <c r="B11" s="70">
        <f>B10*Calculator!$C$9</f>
        <v>20250</v>
      </c>
      <c r="C11" s="70">
        <f>C10*Calculator!$C$9</f>
        <v>75750</v>
      </c>
      <c r="D11" s="70">
        <f>D10*Calculator!$C$9</f>
        <v>113625</v>
      </c>
      <c r="E11" s="70">
        <f>E10*Calculator!$C$9</f>
        <v>151500</v>
      </c>
      <c r="F11" s="70">
        <f>F10*Calculator!$C$9</f>
        <v>151500</v>
      </c>
      <c r="G11" s="70">
        <f>G10*Calculator!$C$9</f>
        <v>151500</v>
      </c>
      <c r="H11" s="70">
        <f>H10*Calculator!$C$9</f>
        <v>151500</v>
      </c>
      <c r="I11" s="70">
        <f>I10*Calculator!$C$9</f>
        <v>151500</v>
      </c>
      <c r="J11" s="70">
        <f>J10*Calculator!$C$9</f>
        <v>151500</v>
      </c>
      <c r="K11" s="70">
        <f>K10*Calculator!$C$9</f>
        <v>151500</v>
      </c>
      <c r="L11" s="70">
        <f>L10*Calculator!$C$9</f>
        <v>151500</v>
      </c>
      <c r="M11" s="70">
        <f>M10*Calculator!$C$9</f>
        <v>151500</v>
      </c>
      <c r="N11" s="70">
        <f>N10*Calculator!$C$9</f>
        <v>151500</v>
      </c>
      <c r="O11" s="70">
        <f>O10*Calculator!$C$9</f>
        <v>151500</v>
      </c>
      <c r="P11" s="70">
        <f>P10*Calculator!$C$9</f>
        <v>151500</v>
      </c>
      <c r="Q11" s="70">
        <f>Q10*Calculator!$C$9</f>
        <v>151500</v>
      </c>
      <c r="R11" s="70">
        <f>R10*Calculator!$C$9</f>
        <v>151500</v>
      </c>
      <c r="S11" s="70">
        <f>S10*Calculator!$C$9</f>
        <v>151500</v>
      </c>
      <c r="T11" s="70">
        <f>T10*Calculator!$C$9</f>
        <v>151500</v>
      </c>
      <c r="U11" s="70">
        <f>U10*Calculator!$C$9</f>
        <v>151500</v>
      </c>
      <c r="V11" s="70">
        <f>V10*Calculator!$C$9</f>
        <v>151500</v>
      </c>
    </row>
    <row r="12" spans="1:23" x14ac:dyDescent="0.15">
      <c r="A12" s="13" t="s">
        <v>132</v>
      </c>
      <c r="B12" s="59">
        <v>0</v>
      </c>
      <c r="C12" s="59">
        <f>SUM(' Trellis '!B65, 'Equipment '!E17,' Trellis '!B80)</f>
        <v>614469.19999999995</v>
      </c>
      <c r="D12" s="59"/>
      <c r="E12" s="59"/>
      <c r="F12" s="59"/>
      <c r="G12" s="59"/>
      <c r="H12" s="59"/>
      <c r="I12" s="59"/>
      <c r="J12" s="59"/>
      <c r="K12" s="59"/>
      <c r="L12" s="59"/>
      <c r="M12" s="59"/>
      <c r="N12" s="59"/>
      <c r="O12" s="59"/>
      <c r="P12" s="59"/>
      <c r="Q12" s="59"/>
      <c r="R12" s="59"/>
      <c r="S12" s="59"/>
      <c r="T12" s="59"/>
      <c r="U12" s="59"/>
      <c r="V12" s="59"/>
    </row>
    <row r="13" spans="1:23" x14ac:dyDescent="0.15">
      <c r="A13" s="42" t="s">
        <v>131</v>
      </c>
      <c r="B13" s="59">
        <v>0</v>
      </c>
      <c r="C13" s="59">
        <f>'Equipment '!$B$51+' Trellis '!$B$92</f>
        <v>32061.210484809308</v>
      </c>
      <c r="D13" s="59">
        <f>'Equipment '!$B$51+' Trellis '!$B$92</f>
        <v>32061.210484809308</v>
      </c>
      <c r="E13" s="59">
        <f>'Equipment '!$B$51+' Trellis '!$B$92</f>
        <v>32061.210484809308</v>
      </c>
      <c r="F13" s="59">
        <f>'Equipment '!$B$51+' Trellis '!$B$92</f>
        <v>32061.210484809308</v>
      </c>
      <c r="G13" s="59">
        <f>'Equipment '!$B$51+' Trellis '!$B$92</f>
        <v>32061.210484809308</v>
      </c>
      <c r="H13" s="59">
        <f>'Equipment '!$B$51+' Trellis '!$B$92</f>
        <v>32061.210484809308</v>
      </c>
      <c r="I13" s="59">
        <f>'Equipment '!$B$51+' Trellis '!$B$92</f>
        <v>32061.210484809308</v>
      </c>
      <c r="J13" s="59">
        <f>'Equipment '!$B$51+' Trellis '!$B$92</f>
        <v>32061.210484809308</v>
      </c>
      <c r="K13" s="59">
        <f>'Equipment '!$B$51+' Trellis '!$B$92</f>
        <v>32061.210484809308</v>
      </c>
      <c r="L13" s="59">
        <f>'Equipment '!$B$51+' Trellis '!$B$92</f>
        <v>32061.210484809308</v>
      </c>
      <c r="M13" s="59">
        <f>'Equipment '!$B$51+' Trellis '!$B$92</f>
        <v>32061.210484809308</v>
      </c>
      <c r="N13" s="59">
        <f>'Equipment '!$B$51+' Trellis '!$B$92</f>
        <v>32061.210484809308</v>
      </c>
      <c r="O13" s="59">
        <f>'Equipment '!$B$51+' Trellis '!$B$92</f>
        <v>32061.210484809308</v>
      </c>
      <c r="P13" s="59">
        <f>'Equipment '!$B$51+' Trellis '!$B$92</f>
        <v>32061.210484809308</v>
      </c>
      <c r="Q13" s="59">
        <f>'Equipment '!$B$51+' Trellis '!$B$92</f>
        <v>32061.210484809308</v>
      </c>
      <c r="R13" s="59">
        <f>'Equipment '!$B$51+' Trellis '!$B$92</f>
        <v>32061.210484809308</v>
      </c>
      <c r="S13" s="59">
        <f>'Equipment '!$B$51+' Trellis '!$B$92</f>
        <v>32061.210484809308</v>
      </c>
      <c r="T13" s="59">
        <f>'Equipment '!$B$51+' Trellis '!$B$92</f>
        <v>32061.210484809308</v>
      </c>
      <c r="U13" s="59">
        <f>'Equipment '!$B$51+' Trellis '!$B$92</f>
        <v>32061.210484809308</v>
      </c>
      <c r="V13" s="59">
        <f>'Equipment '!$B$51+' Trellis '!$B$92</f>
        <v>32061.210484809308</v>
      </c>
    </row>
    <row r="14" spans="1:23" x14ac:dyDescent="0.15">
      <c r="A14" s="42" t="s">
        <v>130</v>
      </c>
      <c r="B14" s="59">
        <f>B11</f>
        <v>20250</v>
      </c>
      <c r="C14" s="59">
        <f t="shared" ref="C14:V14" si="1">C11</f>
        <v>75750</v>
      </c>
      <c r="D14" s="59">
        <f t="shared" si="1"/>
        <v>113625</v>
      </c>
      <c r="E14" s="59">
        <f t="shared" si="1"/>
        <v>151500</v>
      </c>
      <c r="F14" s="59">
        <f t="shared" si="1"/>
        <v>151500</v>
      </c>
      <c r="G14" s="59">
        <f t="shared" si="1"/>
        <v>151500</v>
      </c>
      <c r="H14" s="59">
        <f t="shared" si="1"/>
        <v>151500</v>
      </c>
      <c r="I14" s="59">
        <f t="shared" si="1"/>
        <v>151500</v>
      </c>
      <c r="J14" s="59">
        <f t="shared" si="1"/>
        <v>151500</v>
      </c>
      <c r="K14" s="59">
        <f t="shared" si="1"/>
        <v>151500</v>
      </c>
      <c r="L14" s="59">
        <f t="shared" si="1"/>
        <v>151500</v>
      </c>
      <c r="M14" s="59">
        <f t="shared" si="1"/>
        <v>151500</v>
      </c>
      <c r="N14" s="59">
        <f t="shared" si="1"/>
        <v>151500</v>
      </c>
      <c r="O14" s="59">
        <f t="shared" si="1"/>
        <v>151500</v>
      </c>
      <c r="P14" s="59">
        <f t="shared" si="1"/>
        <v>151500</v>
      </c>
      <c r="Q14" s="59">
        <f t="shared" si="1"/>
        <v>151500</v>
      </c>
      <c r="R14" s="59">
        <f t="shared" si="1"/>
        <v>151500</v>
      </c>
      <c r="S14" s="59">
        <f t="shared" si="1"/>
        <v>151500</v>
      </c>
      <c r="T14" s="59">
        <f t="shared" si="1"/>
        <v>151500</v>
      </c>
      <c r="U14" s="59">
        <f t="shared" si="1"/>
        <v>151500</v>
      </c>
      <c r="V14" s="59">
        <f t="shared" si="1"/>
        <v>151500</v>
      </c>
    </row>
    <row r="15" spans="1:23" s="65" customFormat="1" x14ac:dyDescent="0.15">
      <c r="A15" s="65" t="s">
        <v>229</v>
      </c>
      <c r="B15" s="71">
        <f>B12+B14</f>
        <v>20250</v>
      </c>
      <c r="C15" s="71">
        <f t="shared" ref="C15:V15" si="2">C12+C14</f>
        <v>690219.2</v>
      </c>
      <c r="D15" s="71">
        <f t="shared" si="2"/>
        <v>113625</v>
      </c>
      <c r="E15" s="71">
        <f t="shared" si="2"/>
        <v>151500</v>
      </c>
      <c r="F15" s="71">
        <f t="shared" si="2"/>
        <v>151500</v>
      </c>
      <c r="G15" s="71">
        <f t="shared" si="2"/>
        <v>151500</v>
      </c>
      <c r="H15" s="71">
        <f t="shared" si="2"/>
        <v>151500</v>
      </c>
      <c r="I15" s="71">
        <f t="shared" si="2"/>
        <v>151500</v>
      </c>
      <c r="J15" s="71">
        <f t="shared" si="2"/>
        <v>151500</v>
      </c>
      <c r="K15" s="71">
        <f t="shared" si="2"/>
        <v>151500</v>
      </c>
      <c r="L15" s="71">
        <f t="shared" si="2"/>
        <v>151500</v>
      </c>
      <c r="M15" s="71">
        <f t="shared" si="2"/>
        <v>151500</v>
      </c>
      <c r="N15" s="71">
        <f t="shared" si="2"/>
        <v>151500</v>
      </c>
      <c r="O15" s="71">
        <f t="shared" si="2"/>
        <v>151500</v>
      </c>
      <c r="P15" s="71">
        <f t="shared" si="2"/>
        <v>151500</v>
      </c>
      <c r="Q15" s="71">
        <f t="shared" si="2"/>
        <v>151500</v>
      </c>
      <c r="R15" s="71">
        <f t="shared" si="2"/>
        <v>151500</v>
      </c>
      <c r="S15" s="71">
        <f t="shared" si="2"/>
        <v>151500</v>
      </c>
      <c r="T15" s="71">
        <f t="shared" si="2"/>
        <v>151500</v>
      </c>
      <c r="U15" s="71">
        <f t="shared" si="2"/>
        <v>151500</v>
      </c>
      <c r="V15" s="71">
        <f t="shared" si="2"/>
        <v>151500</v>
      </c>
    </row>
    <row r="16" spans="1:23" s="69" customFormat="1" x14ac:dyDescent="0.15">
      <c r="A16" s="69" t="s">
        <v>230</v>
      </c>
      <c r="B16" s="70">
        <f>B15</f>
        <v>20250</v>
      </c>
      <c r="C16" s="70">
        <f>SUM(B15:C15)</f>
        <v>710469.2</v>
      </c>
      <c r="D16" s="70">
        <f>SUM(B15:D15)</f>
        <v>824094.2</v>
      </c>
      <c r="E16" s="70">
        <f>SUM(B15:E15)</f>
        <v>975594.2</v>
      </c>
      <c r="F16" s="70">
        <f>SUM(B15:F15)</f>
        <v>1127094.2</v>
      </c>
      <c r="G16" s="70">
        <f>SUM(B15:G15)</f>
        <v>1278594.2</v>
      </c>
      <c r="H16" s="70">
        <f>SUM(B15:H15)</f>
        <v>1430094.2</v>
      </c>
      <c r="I16" s="70">
        <f>SUM(B15:I15)</f>
        <v>1581594.2</v>
      </c>
      <c r="J16" s="70">
        <f>SUM(B15:J15)</f>
        <v>1733094.2</v>
      </c>
      <c r="K16" s="70">
        <f>SUM(B15:K15)</f>
        <v>1884594.2</v>
      </c>
      <c r="L16" s="70">
        <f>SUM(B15:L15)</f>
        <v>2036094.2</v>
      </c>
      <c r="M16" s="70">
        <f>SUM(B15:M15)</f>
        <v>2187594.2000000002</v>
      </c>
      <c r="N16" s="70">
        <f>SUM(B15:N15)</f>
        <v>2339094.2000000002</v>
      </c>
      <c r="O16" s="70">
        <f>SUM(B15:O15)</f>
        <v>2490594.2000000002</v>
      </c>
      <c r="P16" s="70">
        <f>SUM(B15:P15)</f>
        <v>2642094.2000000002</v>
      </c>
      <c r="Q16" s="70">
        <f>SUM(B15:Q15)</f>
        <v>2793594.2</v>
      </c>
      <c r="R16" s="70">
        <f>SUM(B15:R15)</f>
        <v>2945094.2</v>
      </c>
      <c r="S16" s="70">
        <f>SUM(B15:S15)</f>
        <v>3096594.2</v>
      </c>
      <c r="T16" s="70">
        <f>SUM(B15:T15)</f>
        <v>3248094.2</v>
      </c>
      <c r="U16" s="70">
        <f>SUM(B15:U15)</f>
        <v>3399594.2</v>
      </c>
      <c r="V16" s="70">
        <f>SUM(B15:V15)</f>
        <v>3551094.2</v>
      </c>
      <c r="W16" s="70"/>
    </row>
    <row r="17" spans="1:22" x14ac:dyDescent="0.15">
      <c r="A17" s="13" t="s">
        <v>231</v>
      </c>
      <c r="B17" s="59">
        <f>SUM(B13:B14)</f>
        <v>20250</v>
      </c>
      <c r="C17" s="59">
        <f t="shared" ref="C17:V17" si="3">SUM(C13:C14)</f>
        <v>107811.2104848093</v>
      </c>
      <c r="D17" s="59">
        <f t="shared" si="3"/>
        <v>145686.2104848093</v>
      </c>
      <c r="E17" s="59">
        <f t="shared" si="3"/>
        <v>183561.2104848093</v>
      </c>
      <c r="F17" s="59">
        <f t="shared" si="3"/>
        <v>183561.2104848093</v>
      </c>
      <c r="G17" s="59">
        <f t="shared" si="3"/>
        <v>183561.2104848093</v>
      </c>
      <c r="H17" s="59">
        <f t="shared" si="3"/>
        <v>183561.2104848093</v>
      </c>
      <c r="I17" s="59">
        <f t="shared" si="3"/>
        <v>183561.2104848093</v>
      </c>
      <c r="J17" s="59">
        <f t="shared" si="3"/>
        <v>183561.2104848093</v>
      </c>
      <c r="K17" s="59">
        <f t="shared" si="3"/>
        <v>183561.2104848093</v>
      </c>
      <c r="L17" s="59">
        <f t="shared" si="3"/>
        <v>183561.2104848093</v>
      </c>
      <c r="M17" s="59">
        <f t="shared" si="3"/>
        <v>183561.2104848093</v>
      </c>
      <c r="N17" s="59">
        <f t="shared" si="3"/>
        <v>183561.2104848093</v>
      </c>
      <c r="O17" s="59">
        <f t="shared" si="3"/>
        <v>183561.2104848093</v>
      </c>
      <c r="P17" s="59">
        <f t="shared" si="3"/>
        <v>183561.2104848093</v>
      </c>
      <c r="Q17" s="59">
        <f t="shared" si="3"/>
        <v>183561.2104848093</v>
      </c>
      <c r="R17" s="59">
        <f t="shared" si="3"/>
        <v>183561.2104848093</v>
      </c>
      <c r="S17" s="59">
        <f t="shared" si="3"/>
        <v>183561.2104848093</v>
      </c>
      <c r="T17" s="59">
        <f t="shared" si="3"/>
        <v>183561.2104848093</v>
      </c>
      <c r="U17" s="59">
        <f t="shared" si="3"/>
        <v>183561.2104848093</v>
      </c>
      <c r="V17" s="59">
        <f t="shared" si="3"/>
        <v>183561.2104848093</v>
      </c>
    </row>
    <row r="18" spans="1:22" s="69" customFormat="1" x14ac:dyDescent="0.15">
      <c r="A18" s="69" t="s">
        <v>232</v>
      </c>
      <c r="B18" s="70">
        <f>SUM(B17)</f>
        <v>20250</v>
      </c>
      <c r="C18" s="70">
        <f>SUM(B17:C17)</f>
        <v>128061.2104848093</v>
      </c>
      <c r="D18" s="70">
        <f>SUM(B17:D17)</f>
        <v>273747.4209696186</v>
      </c>
      <c r="E18" s="70">
        <f>SUM(B17:E17)</f>
        <v>457308.6314544279</v>
      </c>
      <c r="F18" s="70">
        <f>SUM(B17:F17)</f>
        <v>640869.8419392372</v>
      </c>
      <c r="G18" s="70">
        <f>SUM(B17:G17)</f>
        <v>824431.05242404644</v>
      </c>
      <c r="H18" s="70">
        <f>SUM(B17:H17)</f>
        <v>1007992.2629088557</v>
      </c>
      <c r="I18" s="70">
        <f>SUM(B17:I17)</f>
        <v>1191553.4733936649</v>
      </c>
      <c r="J18" s="70">
        <f>SUM(B17:J17)</f>
        <v>1375114.6838784742</v>
      </c>
      <c r="K18" s="70">
        <f>SUM(B17:K17)</f>
        <v>1558675.8943632834</v>
      </c>
      <c r="L18" s="70">
        <f>SUM(B17:L17)</f>
        <v>1742237.1048480927</v>
      </c>
      <c r="M18" s="70">
        <f>SUM(B17:M17)</f>
        <v>1925798.3153329019</v>
      </c>
      <c r="N18" s="70">
        <f>SUM(B17:N17)</f>
        <v>2109359.5258177114</v>
      </c>
      <c r="O18" s="70">
        <f>SUM(B17:O17)</f>
        <v>2292920.7363025206</v>
      </c>
      <c r="P18" s="70">
        <f>SUM(B17:P17)</f>
        <v>2476481.9467873299</v>
      </c>
      <c r="Q18" s="70">
        <f>SUM(B17:Q17)</f>
        <v>2660043.1572721391</v>
      </c>
      <c r="R18" s="70">
        <f>SUM(B17:R17)</f>
        <v>2843604.3677569483</v>
      </c>
      <c r="S18" s="70">
        <f>SUM(B17:S17)</f>
        <v>3027165.5782417576</v>
      </c>
      <c r="T18" s="70">
        <f>SUM(B17:T17)</f>
        <v>3210726.7887265668</v>
      </c>
      <c r="U18" s="70">
        <f>SUM(B17:U17)</f>
        <v>3394287.9992113761</v>
      </c>
      <c r="V18" s="70">
        <f>SUM(B17:V17)</f>
        <v>3577849.2096961853</v>
      </c>
    </row>
    <row r="19" spans="1:22" x14ac:dyDescent="0.15">
      <c r="B19" s="59"/>
      <c r="C19" s="59"/>
      <c r="D19" s="59"/>
      <c r="E19" s="59"/>
      <c r="F19" s="59"/>
      <c r="G19" s="59"/>
      <c r="H19" s="59"/>
      <c r="I19" s="59"/>
      <c r="J19" s="59"/>
      <c r="K19" s="59"/>
      <c r="L19" s="59"/>
      <c r="M19" s="59"/>
      <c r="N19" s="59"/>
      <c r="O19" s="59"/>
      <c r="P19" s="59"/>
      <c r="Q19" s="59"/>
      <c r="R19" s="59"/>
      <c r="S19" s="59"/>
      <c r="T19" s="59"/>
      <c r="U19" s="59"/>
      <c r="V19" s="59"/>
    </row>
    <row r="20" spans="1:22" x14ac:dyDescent="0.15">
      <c r="A20" s="65" t="s">
        <v>10</v>
      </c>
      <c r="B20" s="59"/>
      <c r="C20" s="59"/>
      <c r="D20" s="59"/>
      <c r="E20" s="59"/>
      <c r="F20" s="59"/>
      <c r="G20" s="59"/>
      <c r="H20" s="59"/>
      <c r="I20" s="59"/>
      <c r="J20" s="59"/>
      <c r="K20" s="59"/>
      <c r="L20" s="59"/>
      <c r="M20" s="59"/>
      <c r="N20" s="59"/>
      <c r="O20" s="59"/>
      <c r="P20" s="59"/>
      <c r="Q20" s="59"/>
      <c r="R20" s="59"/>
      <c r="S20" s="59"/>
      <c r="T20" s="59"/>
      <c r="U20" s="59"/>
      <c r="V20" s="59"/>
    </row>
    <row r="21" spans="1:22" x14ac:dyDescent="0.15">
      <c r="A21" s="72" t="s">
        <v>233</v>
      </c>
      <c r="B21" s="73">
        <v>0</v>
      </c>
      <c r="C21" s="73">
        <v>0</v>
      </c>
      <c r="D21" s="73">
        <v>0</v>
      </c>
      <c r="E21" s="73">
        <f>Calculator!$C$10*0.2</f>
        <v>0.30000000000000004</v>
      </c>
      <c r="F21" s="73">
        <f>Calculator!$C$10*0.6</f>
        <v>0.89999999999999991</v>
      </c>
      <c r="G21" s="73">
        <f>Calculator!$C$10</f>
        <v>1.5</v>
      </c>
      <c r="H21" s="73">
        <f>Calculator!$C$10</f>
        <v>1.5</v>
      </c>
      <c r="I21" s="73">
        <f>Calculator!$C$10</f>
        <v>1.5</v>
      </c>
      <c r="J21" s="73">
        <f>Calculator!$C$10</f>
        <v>1.5</v>
      </c>
      <c r="K21" s="73">
        <f>Calculator!$C$10</f>
        <v>1.5</v>
      </c>
      <c r="L21" s="73">
        <f>Calculator!$C$10</f>
        <v>1.5</v>
      </c>
      <c r="M21" s="73">
        <f>Calculator!$C$10</f>
        <v>1.5</v>
      </c>
      <c r="N21" s="73">
        <f>Calculator!$C$10</f>
        <v>1.5</v>
      </c>
      <c r="O21" s="73">
        <f>Calculator!$C$10</f>
        <v>1.5</v>
      </c>
      <c r="P21" s="73">
        <f>Calculator!$C$10</f>
        <v>1.5</v>
      </c>
      <c r="Q21" s="73">
        <f>Calculator!$C$10</f>
        <v>1.5</v>
      </c>
      <c r="R21" s="73">
        <f>Calculator!$C$10</f>
        <v>1.5</v>
      </c>
      <c r="S21" s="73">
        <f>Calculator!$C$10</f>
        <v>1.5</v>
      </c>
      <c r="T21" s="73">
        <f>Calculator!$C$10</f>
        <v>1.5</v>
      </c>
      <c r="U21" s="73">
        <f>Calculator!$C$10</f>
        <v>1.5</v>
      </c>
      <c r="V21" s="73">
        <f>Calculator!$C$10</f>
        <v>1.5</v>
      </c>
    </row>
    <row r="22" spans="1:22" s="183" customFormat="1" x14ac:dyDescent="0.15">
      <c r="A22" s="183" t="s">
        <v>234</v>
      </c>
      <c r="B22" s="183">
        <f>' Trellis '!$B$50*B21</f>
        <v>0</v>
      </c>
      <c r="C22" s="183">
        <f>' Trellis '!$B$50*C21</f>
        <v>0</v>
      </c>
      <c r="D22" s="183">
        <f>' Trellis '!$B$50*D21</f>
        <v>0</v>
      </c>
      <c r="E22" s="183">
        <f>' Trellis '!$B$50*E21</f>
        <v>1500.0000000000002</v>
      </c>
      <c r="F22" s="183">
        <f>' Trellis '!$B$50*F21</f>
        <v>4500</v>
      </c>
      <c r="G22" s="183">
        <f>' Trellis '!$B$50*G21</f>
        <v>7500</v>
      </c>
      <c r="H22" s="183">
        <f>' Trellis '!$B$50*H21</f>
        <v>7500</v>
      </c>
      <c r="I22" s="183">
        <f>' Trellis '!$B$50*I21</f>
        <v>7500</v>
      </c>
      <c r="J22" s="183">
        <f>' Trellis '!$B$50*J21</f>
        <v>7500</v>
      </c>
      <c r="K22" s="183">
        <f>' Trellis '!$B$50*K21</f>
        <v>7500</v>
      </c>
      <c r="L22" s="183">
        <f>' Trellis '!$B$50*L21</f>
        <v>7500</v>
      </c>
      <c r="M22" s="183">
        <f>' Trellis '!$B$50*M21</f>
        <v>7500</v>
      </c>
      <c r="N22" s="183">
        <f>' Trellis '!$B$50*N21</f>
        <v>7500</v>
      </c>
      <c r="O22" s="183">
        <f>' Trellis '!$B$50*O21</f>
        <v>7500</v>
      </c>
      <c r="P22" s="183">
        <f>' Trellis '!$B$50*P21</f>
        <v>7500</v>
      </c>
      <c r="Q22" s="183">
        <f>' Trellis '!$B$50*Q21</f>
        <v>7500</v>
      </c>
      <c r="R22" s="183">
        <f>' Trellis '!$B$50*R21</f>
        <v>7500</v>
      </c>
      <c r="S22" s="183">
        <f>' Trellis '!$B$50*S21</f>
        <v>7500</v>
      </c>
      <c r="T22" s="183">
        <f>' Trellis '!$B$50*T21</f>
        <v>7500</v>
      </c>
      <c r="U22" s="183">
        <f>' Trellis '!$B$50*U21</f>
        <v>7500</v>
      </c>
      <c r="V22" s="183">
        <f>' Trellis '!$B$50*V21</f>
        <v>7500</v>
      </c>
    </row>
    <row r="23" spans="1:22" x14ac:dyDescent="0.15">
      <c r="A23" s="13" t="s">
        <v>235</v>
      </c>
      <c r="B23" s="170">
        <f>B22/2000</f>
        <v>0</v>
      </c>
      <c r="C23" s="170">
        <f>C22/2000</f>
        <v>0</v>
      </c>
      <c r="D23" s="170">
        <f>D22/2000</f>
        <v>0</v>
      </c>
      <c r="E23" s="170">
        <f>E22/2000</f>
        <v>0.75000000000000011</v>
      </c>
      <c r="F23" s="170">
        <f t="shared" ref="F23:V23" si="4">F22/2000</f>
        <v>2.25</v>
      </c>
      <c r="G23" s="170">
        <f t="shared" si="4"/>
        <v>3.75</v>
      </c>
      <c r="H23" s="170">
        <f t="shared" si="4"/>
        <v>3.75</v>
      </c>
      <c r="I23" s="170">
        <f t="shared" si="4"/>
        <v>3.75</v>
      </c>
      <c r="J23" s="170">
        <f t="shared" si="4"/>
        <v>3.75</v>
      </c>
      <c r="K23" s="170">
        <f t="shared" si="4"/>
        <v>3.75</v>
      </c>
      <c r="L23" s="170">
        <f t="shared" si="4"/>
        <v>3.75</v>
      </c>
      <c r="M23" s="170">
        <f t="shared" si="4"/>
        <v>3.75</v>
      </c>
      <c r="N23" s="170">
        <f t="shared" si="4"/>
        <v>3.75</v>
      </c>
      <c r="O23" s="170">
        <f t="shared" si="4"/>
        <v>3.75</v>
      </c>
      <c r="P23" s="170">
        <f t="shared" si="4"/>
        <v>3.75</v>
      </c>
      <c r="Q23" s="170">
        <f t="shared" si="4"/>
        <v>3.75</v>
      </c>
      <c r="R23" s="170">
        <f t="shared" si="4"/>
        <v>3.75</v>
      </c>
      <c r="S23" s="170">
        <f t="shared" si="4"/>
        <v>3.75</v>
      </c>
      <c r="T23" s="170">
        <f t="shared" si="4"/>
        <v>3.75</v>
      </c>
      <c r="U23" s="170">
        <f t="shared" si="4"/>
        <v>3.75</v>
      </c>
      <c r="V23" s="170">
        <f t="shared" si="4"/>
        <v>3.75</v>
      </c>
    </row>
    <row r="24" spans="1:22" x14ac:dyDescent="0.15">
      <c r="A24" s="13" t="s">
        <v>236</v>
      </c>
      <c r="B24" s="59">
        <f>B23*Calculator!$C$12</f>
        <v>0</v>
      </c>
      <c r="C24" s="59">
        <f>C23*Calculator!$C$12</f>
        <v>0</v>
      </c>
      <c r="D24" s="59">
        <f>D23*Calculator!$C$12</f>
        <v>0</v>
      </c>
      <c r="E24" s="59">
        <f>E23*Calculator!$C$12</f>
        <v>1500.0000000000002</v>
      </c>
      <c r="F24" s="59">
        <f>F23*Calculator!$C$12</f>
        <v>4500</v>
      </c>
      <c r="G24" s="59">
        <f>G23*Calculator!$C$12</f>
        <v>7500</v>
      </c>
      <c r="H24" s="59">
        <f>H23*Calculator!$C$12</f>
        <v>7500</v>
      </c>
      <c r="I24" s="59">
        <f>I23*Calculator!$C$12</f>
        <v>7500</v>
      </c>
      <c r="J24" s="59">
        <f>J23*Calculator!$C$12</f>
        <v>7500</v>
      </c>
      <c r="K24" s="59">
        <f>K23*Calculator!$C$12</f>
        <v>7500</v>
      </c>
      <c r="L24" s="59">
        <f>L23*Calculator!$C$12</f>
        <v>7500</v>
      </c>
      <c r="M24" s="59">
        <f>M23*Calculator!$C$12</f>
        <v>7500</v>
      </c>
      <c r="N24" s="59">
        <f>N23*Calculator!$C$12</f>
        <v>7500</v>
      </c>
      <c r="O24" s="59">
        <f>O23*Calculator!$C$12</f>
        <v>7500</v>
      </c>
      <c r="P24" s="59">
        <f>P23*Calculator!$C$12</f>
        <v>7500</v>
      </c>
      <c r="Q24" s="59">
        <f>Q23*Calculator!$C$12</f>
        <v>7500</v>
      </c>
      <c r="R24" s="59">
        <f>R23*Calculator!$C$12</f>
        <v>7500</v>
      </c>
      <c r="S24" s="59">
        <f>S23*Calculator!$C$12</f>
        <v>7500</v>
      </c>
      <c r="T24" s="59">
        <f>T23*Calculator!$C$12</f>
        <v>7500</v>
      </c>
      <c r="U24" s="59">
        <f>U23*Calculator!$C$12</f>
        <v>7500</v>
      </c>
      <c r="V24" s="59">
        <f>V23*Calculator!$C$12</f>
        <v>7500</v>
      </c>
    </row>
    <row r="25" spans="1:22" x14ac:dyDescent="0.15">
      <c r="A25" s="13" t="s">
        <v>237</v>
      </c>
      <c r="B25" s="59">
        <f>B24*Calculator!$C$9</f>
        <v>0</v>
      </c>
      <c r="C25" s="59">
        <f>C24*Calculator!$C$9</f>
        <v>0</v>
      </c>
      <c r="D25" s="59">
        <f>D24*Calculator!$C$9</f>
        <v>0</v>
      </c>
      <c r="E25" s="59">
        <f>E24*Calculator!$C$9</f>
        <v>45000.000000000007</v>
      </c>
      <c r="F25" s="59">
        <f>F24*Calculator!$C$9</f>
        <v>135000</v>
      </c>
      <c r="G25" s="59">
        <f>G24*Calculator!$C$9</f>
        <v>225000</v>
      </c>
      <c r="H25" s="59">
        <f>H24*Calculator!$C$9</f>
        <v>225000</v>
      </c>
      <c r="I25" s="59">
        <f>I24*Calculator!$C$9</f>
        <v>225000</v>
      </c>
      <c r="J25" s="59">
        <f>J24*Calculator!$C$9</f>
        <v>225000</v>
      </c>
      <c r="K25" s="59">
        <f>K24*Calculator!$C$9</f>
        <v>225000</v>
      </c>
      <c r="L25" s="59">
        <f>L24*Calculator!$C$9</f>
        <v>225000</v>
      </c>
      <c r="M25" s="59">
        <f>M24*Calculator!$C$9</f>
        <v>225000</v>
      </c>
      <c r="N25" s="59">
        <f>N24*Calculator!$C$9</f>
        <v>225000</v>
      </c>
      <c r="O25" s="59">
        <f>O24*Calculator!$C$9</f>
        <v>225000</v>
      </c>
      <c r="P25" s="59">
        <f>P24*Calculator!$C$9</f>
        <v>225000</v>
      </c>
      <c r="Q25" s="59">
        <f>Q24*Calculator!$C$9</f>
        <v>225000</v>
      </c>
      <c r="R25" s="59">
        <f>R24*Calculator!$C$9</f>
        <v>225000</v>
      </c>
      <c r="S25" s="59">
        <f>S24*Calculator!$C$9</f>
        <v>225000</v>
      </c>
      <c r="T25" s="59">
        <f>T24*Calculator!$C$9</f>
        <v>225000</v>
      </c>
      <c r="U25" s="59">
        <f>U24*Calculator!$C$9</f>
        <v>225000</v>
      </c>
      <c r="V25" s="59">
        <f>V24*Calculator!$C$9</f>
        <v>225000</v>
      </c>
    </row>
    <row r="26" spans="1:22" s="69" customFormat="1" x14ac:dyDescent="0.15">
      <c r="B26" s="70"/>
      <c r="C26" s="70"/>
      <c r="D26" s="70"/>
      <c r="E26" s="70"/>
      <c r="F26" s="70"/>
      <c r="G26" s="70"/>
      <c r="H26" s="70"/>
      <c r="I26" s="70"/>
      <c r="J26" s="70"/>
      <c r="K26" s="70"/>
      <c r="L26" s="70"/>
      <c r="M26" s="70"/>
      <c r="N26" s="70"/>
      <c r="O26" s="70"/>
      <c r="P26" s="70"/>
      <c r="Q26" s="70"/>
      <c r="R26" s="70"/>
      <c r="S26" s="70"/>
      <c r="T26" s="70"/>
      <c r="U26" s="70"/>
      <c r="V26" s="70"/>
    </row>
    <row r="27" spans="1:22" x14ac:dyDescent="0.15">
      <c r="B27" s="59"/>
      <c r="C27" s="59"/>
      <c r="D27" s="59"/>
      <c r="E27" s="59"/>
      <c r="F27" s="59"/>
      <c r="G27" s="59"/>
      <c r="H27" s="59"/>
      <c r="I27" s="59"/>
      <c r="J27" s="59"/>
      <c r="K27" s="59"/>
      <c r="L27" s="59"/>
      <c r="M27" s="59"/>
      <c r="N27" s="59"/>
      <c r="O27" s="59"/>
      <c r="P27" s="59"/>
      <c r="Q27" s="59"/>
      <c r="R27" s="59"/>
      <c r="S27" s="59"/>
      <c r="T27" s="59"/>
      <c r="U27" s="59"/>
      <c r="V27" s="59"/>
    </row>
    <row r="28" spans="1:22" x14ac:dyDescent="0.15">
      <c r="A28" s="13" t="s">
        <v>238</v>
      </c>
      <c r="B28" s="59">
        <f>B25</f>
        <v>0</v>
      </c>
      <c r="C28" s="59">
        <f t="shared" ref="C28:V28" si="5">C25</f>
        <v>0</v>
      </c>
      <c r="D28" s="59">
        <f t="shared" si="5"/>
        <v>0</v>
      </c>
      <c r="E28" s="59">
        <f t="shared" si="5"/>
        <v>45000.000000000007</v>
      </c>
      <c r="F28" s="59">
        <f t="shared" si="5"/>
        <v>135000</v>
      </c>
      <c r="G28" s="59">
        <f t="shared" si="5"/>
        <v>225000</v>
      </c>
      <c r="H28" s="59">
        <f t="shared" si="5"/>
        <v>225000</v>
      </c>
      <c r="I28" s="59">
        <f t="shared" si="5"/>
        <v>225000</v>
      </c>
      <c r="J28" s="59">
        <f t="shared" si="5"/>
        <v>225000</v>
      </c>
      <c r="K28" s="59">
        <f t="shared" si="5"/>
        <v>225000</v>
      </c>
      <c r="L28" s="59">
        <f t="shared" si="5"/>
        <v>225000</v>
      </c>
      <c r="M28" s="59">
        <f t="shared" si="5"/>
        <v>225000</v>
      </c>
      <c r="N28" s="59">
        <f t="shared" si="5"/>
        <v>225000</v>
      </c>
      <c r="O28" s="59">
        <f t="shared" si="5"/>
        <v>225000</v>
      </c>
      <c r="P28" s="59">
        <f t="shared" si="5"/>
        <v>225000</v>
      </c>
      <c r="Q28" s="59">
        <f t="shared" si="5"/>
        <v>225000</v>
      </c>
      <c r="R28" s="59">
        <f t="shared" si="5"/>
        <v>225000</v>
      </c>
      <c r="S28" s="59">
        <f t="shared" si="5"/>
        <v>225000</v>
      </c>
      <c r="T28" s="59">
        <f t="shared" si="5"/>
        <v>225000</v>
      </c>
      <c r="U28" s="59">
        <f t="shared" si="5"/>
        <v>225000</v>
      </c>
      <c r="V28" s="59">
        <f t="shared" si="5"/>
        <v>225000</v>
      </c>
    </row>
    <row r="29" spans="1:22" s="65" customFormat="1" x14ac:dyDescent="0.15">
      <c r="A29" s="65" t="s">
        <v>10</v>
      </c>
      <c r="B29" s="71">
        <f>B28</f>
        <v>0</v>
      </c>
      <c r="C29" s="71">
        <f t="shared" ref="C29:V29" si="6">C28</f>
        <v>0</v>
      </c>
      <c r="D29" s="71">
        <f t="shared" si="6"/>
        <v>0</v>
      </c>
      <c r="E29" s="71">
        <f t="shared" si="6"/>
        <v>45000.000000000007</v>
      </c>
      <c r="F29" s="71">
        <f t="shared" si="6"/>
        <v>135000</v>
      </c>
      <c r="G29" s="71">
        <f t="shared" si="6"/>
        <v>225000</v>
      </c>
      <c r="H29" s="71">
        <f t="shared" si="6"/>
        <v>225000</v>
      </c>
      <c r="I29" s="71">
        <f t="shared" si="6"/>
        <v>225000</v>
      </c>
      <c r="J29" s="71">
        <f t="shared" si="6"/>
        <v>225000</v>
      </c>
      <c r="K29" s="71">
        <f t="shared" si="6"/>
        <v>225000</v>
      </c>
      <c r="L29" s="71">
        <f t="shared" si="6"/>
        <v>225000</v>
      </c>
      <c r="M29" s="71">
        <f t="shared" si="6"/>
        <v>225000</v>
      </c>
      <c r="N29" s="71">
        <f t="shared" si="6"/>
        <v>225000</v>
      </c>
      <c r="O29" s="71">
        <f t="shared" si="6"/>
        <v>225000</v>
      </c>
      <c r="P29" s="71">
        <f t="shared" si="6"/>
        <v>225000</v>
      </c>
      <c r="Q29" s="71">
        <f t="shared" si="6"/>
        <v>225000</v>
      </c>
      <c r="R29" s="71">
        <f t="shared" si="6"/>
        <v>225000</v>
      </c>
      <c r="S29" s="71">
        <f t="shared" si="6"/>
        <v>225000</v>
      </c>
      <c r="T29" s="71">
        <f t="shared" si="6"/>
        <v>225000</v>
      </c>
      <c r="U29" s="71">
        <f t="shared" si="6"/>
        <v>225000</v>
      </c>
      <c r="V29" s="71">
        <f t="shared" si="6"/>
        <v>225000</v>
      </c>
    </row>
    <row r="30" spans="1:22" x14ac:dyDescent="0.15">
      <c r="A30" s="13" t="s">
        <v>239</v>
      </c>
      <c r="B30" s="59">
        <f>SUM(B29)</f>
        <v>0</v>
      </c>
      <c r="C30" s="59">
        <f>SUM(B29:C29)</f>
        <v>0</v>
      </c>
      <c r="D30" s="59">
        <f>SUM(B29:D29)</f>
        <v>0</v>
      </c>
      <c r="E30" s="59">
        <f>SUM(B29:E29)</f>
        <v>45000.000000000007</v>
      </c>
      <c r="F30" s="59">
        <f>SUM(B29:F29)</f>
        <v>180000</v>
      </c>
      <c r="G30" s="59">
        <f>SUM(B29:G29)</f>
        <v>405000</v>
      </c>
      <c r="H30" s="59">
        <f>SUM(B29:H29)</f>
        <v>630000</v>
      </c>
      <c r="I30" s="59">
        <f>SUM(B29:I29)</f>
        <v>855000</v>
      </c>
      <c r="J30" s="59">
        <f>SUM(B29:J29)</f>
        <v>1080000</v>
      </c>
      <c r="K30" s="59">
        <f>SUM(B29:K29)</f>
        <v>1305000</v>
      </c>
      <c r="L30" s="59">
        <f>SUM(B29:L29)</f>
        <v>1530000</v>
      </c>
      <c r="M30" s="59">
        <f>SUM(B29:M29)</f>
        <v>1755000</v>
      </c>
      <c r="N30" s="59">
        <f>SUM(B29:N29)</f>
        <v>1980000</v>
      </c>
      <c r="O30" s="59">
        <f>SUM(B29:O29)</f>
        <v>2205000</v>
      </c>
      <c r="P30" s="59">
        <f>SUM(B29:P29)</f>
        <v>2430000</v>
      </c>
      <c r="Q30" s="59">
        <f>SUM(B29:Q29)</f>
        <v>2655000</v>
      </c>
      <c r="R30" s="59">
        <f>SUM(B29:R29)</f>
        <v>2880000</v>
      </c>
      <c r="S30" s="59">
        <f>SUM(B29:S29)</f>
        <v>3105000</v>
      </c>
      <c r="T30" s="59">
        <f>SUM(B29:T29)</f>
        <v>3330000</v>
      </c>
      <c r="U30" s="59">
        <f>SUM(B29:U29)</f>
        <v>3555000</v>
      </c>
      <c r="V30" s="59">
        <f>SUM(B29:V29)</f>
        <v>3780000</v>
      </c>
    </row>
    <row r="31" spans="1:22" s="65" customFormat="1" x14ac:dyDescent="0.15">
      <c r="A31" s="74" t="s">
        <v>240</v>
      </c>
      <c r="B31" s="71">
        <f>(-1*B16)+B30</f>
        <v>-20250</v>
      </c>
      <c r="C31" s="71">
        <f t="shared" ref="C31:V31" si="7">(-1*C16)+C30</f>
        <v>-710469.2</v>
      </c>
      <c r="D31" s="71">
        <f t="shared" si="7"/>
        <v>-824094.2</v>
      </c>
      <c r="E31" s="71">
        <f t="shared" si="7"/>
        <v>-930594.2</v>
      </c>
      <c r="F31" s="71">
        <f t="shared" si="7"/>
        <v>-947094.2</v>
      </c>
      <c r="G31" s="71">
        <f t="shared" si="7"/>
        <v>-873594.2</v>
      </c>
      <c r="H31" s="71">
        <f t="shared" si="7"/>
        <v>-800094.2</v>
      </c>
      <c r="I31" s="71">
        <f t="shared" si="7"/>
        <v>-726594.2</v>
      </c>
      <c r="J31" s="71">
        <f t="shared" si="7"/>
        <v>-653094.19999999995</v>
      </c>
      <c r="K31" s="71">
        <f t="shared" si="7"/>
        <v>-579594.19999999995</v>
      </c>
      <c r="L31" s="71">
        <f t="shared" si="7"/>
        <v>-506094.19999999995</v>
      </c>
      <c r="M31" s="71">
        <f t="shared" si="7"/>
        <v>-432594.20000000019</v>
      </c>
      <c r="N31" s="71">
        <f t="shared" si="7"/>
        <v>-359094.20000000019</v>
      </c>
      <c r="O31" s="71">
        <f t="shared" si="7"/>
        <v>-285594.20000000019</v>
      </c>
      <c r="P31" s="71">
        <f t="shared" si="7"/>
        <v>-212094.20000000019</v>
      </c>
      <c r="Q31" s="71">
        <f t="shared" si="7"/>
        <v>-138594.20000000019</v>
      </c>
      <c r="R31" s="71">
        <f t="shared" si="7"/>
        <v>-65094.200000000186</v>
      </c>
      <c r="S31" s="71">
        <f t="shared" si="7"/>
        <v>8405.7999999998137</v>
      </c>
      <c r="T31" s="71">
        <f t="shared" si="7"/>
        <v>81905.799999999814</v>
      </c>
      <c r="U31" s="71">
        <f t="shared" si="7"/>
        <v>155405.79999999981</v>
      </c>
      <c r="V31" s="71">
        <f t="shared" si="7"/>
        <v>228905.79999999981</v>
      </c>
    </row>
    <row r="32" spans="1:22" s="69" customFormat="1" x14ac:dyDescent="0.15">
      <c r="A32" s="69" t="s">
        <v>241</v>
      </c>
      <c r="B32" s="70">
        <f t="shared" ref="B32:V32" si="8">(-1*B15)+B29</f>
        <v>-20250</v>
      </c>
      <c r="C32" s="70">
        <f t="shared" si="8"/>
        <v>-690219.2</v>
      </c>
      <c r="D32" s="70">
        <f t="shared" si="8"/>
        <v>-113625</v>
      </c>
      <c r="E32" s="70">
        <f t="shared" si="8"/>
        <v>-106500</v>
      </c>
      <c r="F32" s="70">
        <f t="shared" si="8"/>
        <v>-16500</v>
      </c>
      <c r="G32" s="70">
        <f t="shared" si="8"/>
        <v>73500</v>
      </c>
      <c r="H32" s="70">
        <f t="shared" si="8"/>
        <v>73500</v>
      </c>
      <c r="I32" s="70">
        <f t="shared" si="8"/>
        <v>73500</v>
      </c>
      <c r="J32" s="70">
        <f t="shared" si="8"/>
        <v>73500</v>
      </c>
      <c r="K32" s="70">
        <f t="shared" si="8"/>
        <v>73500</v>
      </c>
      <c r="L32" s="70">
        <f t="shared" si="8"/>
        <v>73500</v>
      </c>
      <c r="M32" s="70">
        <f t="shared" si="8"/>
        <v>73500</v>
      </c>
      <c r="N32" s="70">
        <f t="shared" si="8"/>
        <v>73500</v>
      </c>
      <c r="O32" s="70">
        <f t="shared" si="8"/>
        <v>73500</v>
      </c>
      <c r="P32" s="70">
        <f t="shared" si="8"/>
        <v>73500</v>
      </c>
      <c r="Q32" s="70">
        <f t="shared" si="8"/>
        <v>73500</v>
      </c>
      <c r="R32" s="70">
        <f t="shared" si="8"/>
        <v>73500</v>
      </c>
      <c r="S32" s="70">
        <f t="shared" si="8"/>
        <v>73500</v>
      </c>
      <c r="T32" s="70">
        <f t="shared" si="8"/>
        <v>73500</v>
      </c>
      <c r="U32" s="70">
        <f t="shared" si="8"/>
        <v>73500</v>
      </c>
      <c r="V32" s="70">
        <f t="shared" si="8"/>
        <v>73500</v>
      </c>
    </row>
    <row r="33" spans="1:22" x14ac:dyDescent="0.15">
      <c r="A33" s="65" t="s">
        <v>242</v>
      </c>
      <c r="B33" s="59">
        <f>(-1*B17)+B29</f>
        <v>-20250</v>
      </c>
      <c r="C33" s="59">
        <f t="shared" ref="C33:V33" si="9">(-1*C17)+C29</f>
        <v>-107811.2104848093</v>
      </c>
      <c r="D33" s="59">
        <f t="shared" si="9"/>
        <v>-145686.2104848093</v>
      </c>
      <c r="E33" s="59">
        <f t="shared" si="9"/>
        <v>-138561.2104848093</v>
      </c>
      <c r="F33" s="59">
        <f t="shared" si="9"/>
        <v>-48561.2104848093</v>
      </c>
      <c r="G33" s="59">
        <f t="shared" si="9"/>
        <v>41438.7895151907</v>
      </c>
      <c r="H33" s="59">
        <f t="shared" si="9"/>
        <v>41438.7895151907</v>
      </c>
      <c r="I33" s="59">
        <f t="shared" si="9"/>
        <v>41438.7895151907</v>
      </c>
      <c r="J33" s="59">
        <f t="shared" si="9"/>
        <v>41438.7895151907</v>
      </c>
      <c r="K33" s="59">
        <f t="shared" si="9"/>
        <v>41438.7895151907</v>
      </c>
      <c r="L33" s="59">
        <f t="shared" si="9"/>
        <v>41438.7895151907</v>
      </c>
      <c r="M33" s="59">
        <f t="shared" si="9"/>
        <v>41438.7895151907</v>
      </c>
      <c r="N33" s="59">
        <f t="shared" si="9"/>
        <v>41438.7895151907</v>
      </c>
      <c r="O33" s="59">
        <f t="shared" si="9"/>
        <v>41438.7895151907</v>
      </c>
      <c r="P33" s="59">
        <f t="shared" si="9"/>
        <v>41438.7895151907</v>
      </c>
      <c r="Q33" s="59">
        <f t="shared" si="9"/>
        <v>41438.7895151907</v>
      </c>
      <c r="R33" s="59">
        <f t="shared" si="9"/>
        <v>41438.7895151907</v>
      </c>
      <c r="S33" s="59">
        <f t="shared" si="9"/>
        <v>41438.7895151907</v>
      </c>
      <c r="T33" s="59">
        <f t="shared" si="9"/>
        <v>41438.7895151907</v>
      </c>
      <c r="U33" s="59">
        <f t="shared" si="9"/>
        <v>41438.7895151907</v>
      </c>
      <c r="V33" s="59">
        <f t="shared" si="9"/>
        <v>41438.7895151907</v>
      </c>
    </row>
    <row r="34" spans="1:22" x14ac:dyDescent="0.15">
      <c r="A34" s="65" t="s">
        <v>243</v>
      </c>
      <c r="B34" s="59">
        <f>SUM(B33)</f>
        <v>-20250</v>
      </c>
      <c r="C34" s="59">
        <f>SUM(B33:C33)</f>
        <v>-128061.2104848093</v>
      </c>
      <c r="D34" s="59">
        <f>SUM(B33:D33)</f>
        <v>-273747.4209696186</v>
      </c>
      <c r="E34" s="59">
        <f>SUM(B33:E33)</f>
        <v>-412308.6314544279</v>
      </c>
      <c r="F34" s="59">
        <f>SUM(B33:F33)</f>
        <v>-460869.8419392372</v>
      </c>
      <c r="G34" s="59">
        <f>SUM(B33:G33)</f>
        <v>-419431.0524240465</v>
      </c>
      <c r="H34" s="59">
        <f>SUM(B33:H33)</f>
        <v>-377992.2629088558</v>
      </c>
      <c r="I34" s="59">
        <f>SUM(B33:I33)</f>
        <v>-336553.4733936651</v>
      </c>
      <c r="J34" s="59">
        <f>SUM(B33:J33)</f>
        <v>-295114.6838784744</v>
      </c>
      <c r="K34" s="59">
        <f>SUM(B33:K33)</f>
        <v>-253675.8943632837</v>
      </c>
      <c r="L34" s="59">
        <f>SUM(B33:L33)</f>
        <v>-212237.104848093</v>
      </c>
      <c r="M34" s="59">
        <f>SUM(B33:M33)</f>
        <v>-170798.3153329023</v>
      </c>
      <c r="N34" s="59">
        <f>SUM(B33:N33)</f>
        <v>-129359.5258177116</v>
      </c>
      <c r="O34" s="59">
        <f>SUM(B33:O33)</f>
        <v>-87920.736302520905</v>
      </c>
      <c r="P34" s="59">
        <f>SUM(B33:P33)</f>
        <v>-46481.946787330206</v>
      </c>
      <c r="Q34" s="59">
        <f>SUM(B33:Q33)</f>
        <v>-5043.1572721395059</v>
      </c>
      <c r="R34" s="59">
        <f>SUM(B33:R33)</f>
        <v>36395.632243051194</v>
      </c>
      <c r="S34" s="59">
        <f>SUM(B33:S33)</f>
        <v>77834.421758241893</v>
      </c>
      <c r="T34" s="59">
        <f>SUM(B33:T33)</f>
        <v>119273.21127343259</v>
      </c>
      <c r="U34" s="59">
        <f>SUM(B33:U33)</f>
        <v>160712.00078862329</v>
      </c>
      <c r="V34" s="59">
        <f>SUM(B33:V33)</f>
        <v>202150.79030381399</v>
      </c>
    </row>
    <row r="35" spans="1:22" x14ac:dyDescent="0.15">
      <c r="B35" s="59"/>
      <c r="C35" s="59"/>
      <c r="D35" s="59"/>
      <c r="E35" s="59"/>
      <c r="F35" s="59"/>
      <c r="G35" s="59"/>
      <c r="H35" s="59"/>
      <c r="I35" s="59"/>
      <c r="J35" s="59"/>
      <c r="K35" s="59"/>
      <c r="L35" s="59"/>
      <c r="M35" s="59"/>
      <c r="N35" s="59"/>
      <c r="O35" s="59"/>
      <c r="P35" s="59"/>
      <c r="Q35" s="59"/>
      <c r="R35" s="59"/>
      <c r="S35" s="59"/>
      <c r="T35" s="59"/>
      <c r="U35" s="59"/>
      <c r="V35" s="59"/>
    </row>
    <row r="36" spans="1:22" x14ac:dyDescent="0.15">
      <c r="B36" s="59"/>
      <c r="C36" s="59"/>
      <c r="D36" s="59"/>
      <c r="E36" s="59"/>
      <c r="F36" s="59"/>
      <c r="G36" s="59"/>
      <c r="H36" s="59"/>
      <c r="I36" s="59"/>
      <c r="J36" s="59"/>
      <c r="K36" s="59"/>
      <c r="L36" s="59"/>
      <c r="M36" s="59"/>
      <c r="N36" s="59"/>
      <c r="O36" s="59"/>
      <c r="P36" s="59"/>
      <c r="Q36" s="59"/>
      <c r="R36" s="59"/>
      <c r="S36" s="59"/>
      <c r="T36" s="59"/>
      <c r="U36" s="59"/>
      <c r="V36" s="59"/>
    </row>
    <row r="37" spans="1:22" x14ac:dyDescent="0.15">
      <c r="B37" s="59"/>
      <c r="C37" s="59"/>
      <c r="D37" s="59"/>
      <c r="E37" s="59"/>
      <c r="F37" s="59"/>
      <c r="G37" s="59"/>
      <c r="H37" s="59"/>
      <c r="I37" s="59"/>
      <c r="J37" s="59"/>
      <c r="K37" s="59"/>
      <c r="L37" s="59"/>
      <c r="M37" s="59"/>
      <c r="N37" s="59"/>
      <c r="O37" s="59"/>
      <c r="P37" s="59"/>
      <c r="Q37" s="59"/>
      <c r="R37" s="59"/>
      <c r="S37" s="59"/>
      <c r="T37" s="59"/>
      <c r="U37" s="59"/>
      <c r="V37" s="59"/>
    </row>
    <row r="38" spans="1:22" x14ac:dyDescent="0.15">
      <c r="B38" s="59"/>
      <c r="C38" s="59"/>
      <c r="D38" s="59"/>
      <c r="E38" s="59"/>
      <c r="F38" s="59"/>
      <c r="G38" s="59"/>
      <c r="H38" s="59"/>
      <c r="I38" s="59"/>
      <c r="J38" s="59"/>
      <c r="K38" s="59"/>
      <c r="L38" s="59"/>
      <c r="M38" s="59"/>
      <c r="N38" s="59"/>
      <c r="O38" s="59"/>
      <c r="P38" s="59"/>
      <c r="Q38" s="59"/>
      <c r="R38" s="59"/>
      <c r="S38" s="59"/>
      <c r="T38" s="59"/>
      <c r="U38" s="59"/>
      <c r="V38" s="59"/>
    </row>
    <row r="39" spans="1:22" x14ac:dyDescent="0.15">
      <c r="B39" s="59"/>
      <c r="C39" s="59"/>
      <c r="D39" s="59"/>
      <c r="E39" s="59"/>
      <c r="F39" s="59"/>
      <c r="G39" s="59"/>
      <c r="H39" s="59"/>
      <c r="I39" s="59"/>
      <c r="J39" s="59"/>
      <c r="K39" s="59"/>
      <c r="L39" s="59"/>
      <c r="M39" s="59"/>
      <c r="N39" s="59"/>
      <c r="O39" s="59"/>
      <c r="P39" s="59"/>
      <c r="Q39" s="59"/>
      <c r="R39" s="59"/>
      <c r="S39" s="59"/>
      <c r="T39" s="59"/>
      <c r="U39" s="59"/>
      <c r="V39" s="59"/>
    </row>
    <row r="40" spans="1:22" x14ac:dyDescent="0.15">
      <c r="B40" s="59"/>
      <c r="C40" s="59"/>
      <c r="D40" s="59"/>
      <c r="E40" s="59"/>
      <c r="F40" s="59"/>
      <c r="G40" s="59"/>
      <c r="H40" s="59"/>
      <c r="I40" s="59"/>
      <c r="J40" s="59"/>
      <c r="K40" s="59"/>
      <c r="L40" s="59"/>
      <c r="M40" s="59"/>
      <c r="N40" s="59"/>
      <c r="O40" s="59"/>
      <c r="P40" s="59"/>
      <c r="Q40" s="59"/>
      <c r="R40" s="59"/>
      <c r="S40" s="59"/>
      <c r="T40" s="59"/>
      <c r="U40" s="59"/>
      <c r="V40" s="59"/>
    </row>
    <row r="41" spans="1:22" x14ac:dyDescent="0.15">
      <c r="B41" s="59"/>
      <c r="C41" s="59"/>
      <c r="D41" s="59"/>
      <c r="E41" s="59"/>
      <c r="F41" s="59"/>
      <c r="G41" s="59"/>
      <c r="H41" s="59"/>
      <c r="I41" s="59"/>
      <c r="J41" s="59"/>
      <c r="K41" s="59"/>
      <c r="L41" s="59"/>
      <c r="M41" s="59"/>
      <c r="N41" s="59"/>
      <c r="O41" s="59"/>
      <c r="P41" s="59"/>
      <c r="Q41" s="59"/>
      <c r="R41" s="59"/>
      <c r="S41" s="59"/>
      <c r="T41" s="59"/>
      <c r="U41" s="59"/>
      <c r="V41" s="59"/>
    </row>
    <row r="42" spans="1:22" x14ac:dyDescent="0.15">
      <c r="B42" s="59"/>
      <c r="C42" s="59"/>
      <c r="D42" s="59"/>
      <c r="E42" s="59"/>
      <c r="F42" s="59"/>
      <c r="G42" s="59"/>
      <c r="H42" s="59"/>
      <c r="I42" s="59"/>
      <c r="J42" s="59"/>
      <c r="K42" s="59"/>
      <c r="L42" s="59"/>
      <c r="M42" s="59"/>
      <c r="N42" s="59"/>
      <c r="O42" s="59"/>
      <c r="P42" s="59"/>
      <c r="Q42" s="59"/>
      <c r="R42" s="59"/>
      <c r="S42" s="59"/>
      <c r="T42" s="59"/>
      <c r="U42" s="59"/>
      <c r="V42" s="59"/>
    </row>
    <row r="43" spans="1:22" x14ac:dyDescent="0.15">
      <c r="B43" s="59"/>
      <c r="C43" s="59"/>
      <c r="D43" s="59"/>
      <c r="E43" s="59"/>
      <c r="F43" s="59"/>
      <c r="G43" s="59"/>
      <c r="H43" s="59"/>
      <c r="I43" s="59"/>
      <c r="J43" s="59"/>
      <c r="K43" s="59"/>
      <c r="L43" s="59"/>
      <c r="M43" s="59"/>
      <c r="N43" s="59"/>
      <c r="O43" s="59"/>
      <c r="P43" s="59"/>
      <c r="Q43" s="59"/>
      <c r="R43" s="59"/>
      <c r="S43" s="59"/>
      <c r="T43" s="59"/>
      <c r="U43" s="59"/>
      <c r="V43" s="59"/>
    </row>
    <row r="44" spans="1:22" x14ac:dyDescent="0.15">
      <c r="B44" s="59"/>
      <c r="C44" s="59"/>
      <c r="D44" s="59"/>
      <c r="E44" s="59"/>
      <c r="F44" s="59"/>
      <c r="G44" s="59"/>
      <c r="H44" s="59"/>
      <c r="I44" s="59"/>
      <c r="J44" s="59"/>
      <c r="K44" s="59"/>
      <c r="L44" s="59"/>
      <c r="M44" s="59"/>
      <c r="N44" s="59"/>
      <c r="O44" s="59"/>
      <c r="P44" s="59"/>
      <c r="Q44" s="59"/>
      <c r="R44" s="59"/>
      <c r="S44" s="59"/>
      <c r="T44" s="59"/>
      <c r="U44" s="59"/>
      <c r="V44" s="59"/>
    </row>
    <row r="45" spans="1:22" x14ac:dyDescent="0.15">
      <c r="B45" s="59"/>
      <c r="C45" s="59"/>
      <c r="D45" s="59"/>
      <c r="E45" s="59"/>
      <c r="F45" s="59"/>
      <c r="G45" s="59"/>
      <c r="H45" s="59"/>
      <c r="I45" s="59"/>
      <c r="J45" s="59"/>
      <c r="K45" s="59"/>
      <c r="L45" s="59"/>
      <c r="M45" s="59"/>
      <c r="N45" s="59"/>
      <c r="O45" s="59"/>
      <c r="P45" s="59"/>
      <c r="Q45" s="59"/>
      <c r="R45" s="59"/>
      <c r="S45" s="59"/>
      <c r="T45" s="59"/>
      <c r="U45" s="59"/>
      <c r="V45" s="59"/>
    </row>
    <row r="46" spans="1:22" x14ac:dyDescent="0.15">
      <c r="B46" s="59"/>
      <c r="C46" s="59"/>
      <c r="D46" s="59"/>
      <c r="E46" s="59"/>
      <c r="F46" s="59"/>
      <c r="G46" s="59"/>
      <c r="H46" s="59"/>
      <c r="I46" s="59"/>
      <c r="J46" s="59"/>
      <c r="K46" s="59"/>
      <c r="L46" s="59"/>
      <c r="M46" s="59"/>
      <c r="N46" s="59"/>
      <c r="O46" s="59"/>
      <c r="P46" s="59"/>
      <c r="Q46" s="59"/>
      <c r="R46" s="59"/>
      <c r="S46" s="59"/>
      <c r="T46" s="59"/>
      <c r="U46" s="59"/>
      <c r="V46" s="59"/>
    </row>
    <row r="47" spans="1:22" x14ac:dyDescent="0.15">
      <c r="B47" s="59"/>
      <c r="C47" s="59"/>
      <c r="D47" s="59"/>
      <c r="E47" s="59"/>
      <c r="F47" s="59"/>
      <c r="G47" s="59"/>
      <c r="H47" s="59"/>
      <c r="I47" s="59"/>
      <c r="J47" s="59"/>
      <c r="K47" s="59"/>
      <c r="L47" s="59"/>
      <c r="M47" s="59"/>
      <c r="N47" s="59"/>
      <c r="O47" s="59"/>
      <c r="P47" s="59"/>
      <c r="Q47" s="59"/>
      <c r="R47" s="59"/>
      <c r="S47" s="59"/>
      <c r="T47" s="59"/>
      <c r="U47" s="59"/>
      <c r="V47" s="59"/>
    </row>
    <row r="48" spans="1:22" x14ac:dyDescent="0.15">
      <c r="B48" s="59"/>
      <c r="C48" s="59"/>
      <c r="D48" s="59"/>
      <c r="E48" s="59"/>
      <c r="F48" s="59"/>
      <c r="G48" s="59"/>
      <c r="H48" s="59"/>
      <c r="I48" s="59"/>
      <c r="J48" s="59"/>
      <c r="K48" s="59"/>
      <c r="L48" s="59"/>
      <c r="M48" s="59"/>
      <c r="N48" s="59"/>
      <c r="O48" s="59"/>
      <c r="P48" s="59"/>
      <c r="Q48" s="59"/>
      <c r="R48" s="59"/>
      <c r="S48" s="59"/>
      <c r="T48" s="59"/>
      <c r="U48" s="59"/>
      <c r="V48" s="59"/>
    </row>
    <row r="49" spans="1:22" x14ac:dyDescent="0.15">
      <c r="B49" s="59"/>
      <c r="C49" s="59"/>
      <c r="D49" s="59"/>
      <c r="E49" s="59"/>
      <c r="F49" s="59"/>
      <c r="G49" s="59"/>
      <c r="H49" s="59"/>
      <c r="I49" s="59"/>
      <c r="J49" s="59"/>
      <c r="K49" s="59"/>
      <c r="L49" s="59"/>
      <c r="M49" s="59"/>
      <c r="N49" s="59"/>
      <c r="O49" s="59"/>
      <c r="P49" s="59"/>
      <c r="Q49" s="59"/>
      <c r="R49" s="59"/>
      <c r="S49" s="59"/>
      <c r="T49" s="59"/>
      <c r="U49" s="59"/>
      <c r="V49" s="59"/>
    </row>
    <row r="50" spans="1:22" x14ac:dyDescent="0.15">
      <c r="B50" s="59"/>
      <c r="C50" s="59"/>
      <c r="D50" s="59"/>
      <c r="E50" s="59"/>
      <c r="F50" s="59"/>
      <c r="G50" s="59"/>
      <c r="H50" s="59"/>
      <c r="I50" s="59"/>
      <c r="J50" s="59"/>
      <c r="K50" s="59"/>
      <c r="L50" s="59"/>
      <c r="M50" s="59"/>
      <c r="N50" s="59"/>
      <c r="O50" s="59"/>
      <c r="P50" s="59"/>
      <c r="Q50" s="59"/>
      <c r="R50" s="59"/>
      <c r="S50" s="59"/>
      <c r="T50" s="59"/>
      <c r="U50" s="59"/>
      <c r="V50" s="59"/>
    </row>
    <row r="51" spans="1:22" x14ac:dyDescent="0.15">
      <c r="B51" s="59"/>
      <c r="C51" s="59"/>
      <c r="D51" s="59"/>
      <c r="E51" s="59"/>
      <c r="F51" s="59"/>
      <c r="G51" s="59"/>
      <c r="H51" s="59"/>
      <c r="I51" s="59"/>
      <c r="J51" s="59"/>
      <c r="K51" s="59"/>
      <c r="L51" s="59"/>
      <c r="M51" s="59"/>
      <c r="N51" s="59"/>
      <c r="O51" s="59"/>
      <c r="P51" s="59"/>
      <c r="Q51" s="59"/>
      <c r="R51" s="59"/>
      <c r="S51" s="59"/>
      <c r="T51" s="59"/>
      <c r="U51" s="59"/>
      <c r="V51" s="59"/>
    </row>
    <row r="52" spans="1:22" x14ac:dyDescent="0.15">
      <c r="B52" s="59"/>
      <c r="C52" s="59"/>
      <c r="D52" s="59"/>
      <c r="E52" s="59"/>
      <c r="F52" s="59"/>
      <c r="G52" s="59"/>
      <c r="H52" s="59"/>
      <c r="I52" s="59"/>
      <c r="J52" s="59"/>
      <c r="K52" s="59"/>
      <c r="L52" s="59"/>
      <c r="M52" s="59"/>
      <c r="N52" s="59"/>
      <c r="O52" s="59"/>
      <c r="P52" s="59"/>
      <c r="Q52" s="59"/>
      <c r="R52" s="59"/>
      <c r="S52" s="59"/>
      <c r="T52" s="59"/>
      <c r="U52" s="59"/>
      <c r="V52" s="59"/>
    </row>
    <row r="53" spans="1:22" x14ac:dyDescent="0.15">
      <c r="B53" s="59"/>
      <c r="C53" s="59"/>
      <c r="D53" s="59"/>
      <c r="E53" s="59"/>
      <c r="F53" s="59"/>
      <c r="G53" s="59"/>
      <c r="H53" s="59"/>
      <c r="I53" s="59"/>
      <c r="J53" s="59"/>
      <c r="K53" s="59"/>
      <c r="L53" s="59"/>
      <c r="M53" s="59"/>
      <c r="N53" s="59"/>
      <c r="O53" s="59"/>
      <c r="P53" s="59"/>
      <c r="Q53" s="59"/>
      <c r="R53" s="59"/>
      <c r="S53" s="59"/>
      <c r="T53" s="59"/>
      <c r="U53" s="59"/>
      <c r="V53" s="59"/>
    </row>
    <row r="54" spans="1:22" x14ac:dyDescent="0.15">
      <c r="B54" s="59"/>
      <c r="C54" s="59"/>
      <c r="D54" s="59"/>
      <c r="E54" s="59"/>
      <c r="F54" s="59"/>
      <c r="G54" s="59"/>
      <c r="H54" s="59"/>
      <c r="I54" s="59"/>
      <c r="J54" s="59"/>
      <c r="K54" s="59"/>
      <c r="L54" s="59"/>
      <c r="M54" s="59"/>
      <c r="N54" s="59"/>
      <c r="O54" s="59"/>
      <c r="P54" s="59"/>
      <c r="Q54" s="59"/>
      <c r="R54" s="59"/>
      <c r="S54" s="59"/>
      <c r="T54" s="59"/>
      <c r="U54" s="59"/>
      <c r="V54" s="59"/>
    </row>
    <row r="55" spans="1:22" x14ac:dyDescent="0.15">
      <c r="B55" s="59"/>
      <c r="C55" s="59"/>
      <c r="D55" s="59"/>
      <c r="E55" s="59"/>
      <c r="F55" s="59"/>
      <c r="G55" s="59"/>
      <c r="H55" s="59"/>
      <c r="I55" s="59"/>
      <c r="J55" s="59"/>
      <c r="K55" s="59"/>
      <c r="L55" s="59"/>
      <c r="M55" s="59"/>
      <c r="N55" s="59"/>
      <c r="O55" s="59"/>
      <c r="P55" s="59"/>
      <c r="Q55" s="59"/>
      <c r="R55" s="59"/>
      <c r="S55" s="59"/>
      <c r="T55" s="59"/>
      <c r="U55" s="59"/>
      <c r="V55" s="59"/>
    </row>
    <row r="56" spans="1:22" ht="183.75" customHeight="1" x14ac:dyDescent="0.2">
      <c r="A56" s="380" t="s">
        <v>124</v>
      </c>
      <c r="B56" s="380"/>
      <c r="C56" s="378" t="s">
        <v>353</v>
      </c>
      <c r="D56" s="378"/>
      <c r="E56" s="378"/>
      <c r="F56" s="59"/>
      <c r="G56" s="59"/>
      <c r="H56" s="59"/>
      <c r="I56" s="59"/>
      <c r="J56" s="59"/>
      <c r="K56" s="59"/>
      <c r="L56" s="59"/>
      <c r="M56" s="59"/>
      <c r="N56" s="59"/>
      <c r="O56" s="59"/>
      <c r="P56" s="59"/>
      <c r="Q56" s="59"/>
      <c r="R56" s="59"/>
      <c r="S56" s="59"/>
      <c r="T56" s="59"/>
      <c r="U56" s="59"/>
      <c r="V56" s="59"/>
    </row>
    <row r="57" spans="1:22" ht="183.75" customHeight="1" x14ac:dyDescent="0.2">
      <c r="A57" s="379" t="s">
        <v>63</v>
      </c>
      <c r="B57" s="379"/>
      <c r="C57" s="378" t="s">
        <v>354</v>
      </c>
      <c r="D57" s="378"/>
      <c r="E57" s="378"/>
      <c r="F57" s="59"/>
      <c r="G57" s="59"/>
      <c r="H57" s="59"/>
      <c r="I57" s="59"/>
      <c r="J57" s="59"/>
      <c r="K57" s="59"/>
      <c r="L57" s="59"/>
      <c r="M57" s="59"/>
      <c r="N57" s="59"/>
      <c r="O57" s="59"/>
      <c r="P57" s="59"/>
      <c r="Q57" s="59"/>
      <c r="R57" s="59"/>
      <c r="S57" s="59"/>
      <c r="T57" s="59"/>
      <c r="U57" s="59"/>
      <c r="V57" s="59"/>
    </row>
    <row r="58" spans="1:22" x14ac:dyDescent="0.15">
      <c r="B58" s="59"/>
      <c r="C58" s="59"/>
      <c r="D58" s="59"/>
      <c r="E58" s="59"/>
      <c r="F58" s="59"/>
      <c r="G58" s="59"/>
      <c r="H58" s="59"/>
      <c r="I58" s="59"/>
      <c r="J58" s="59"/>
      <c r="K58" s="59"/>
      <c r="L58" s="59"/>
      <c r="M58" s="59"/>
      <c r="N58" s="59"/>
      <c r="O58" s="59"/>
      <c r="P58" s="59"/>
      <c r="Q58" s="59"/>
      <c r="R58" s="59"/>
      <c r="S58" s="59"/>
      <c r="T58" s="59"/>
      <c r="U58" s="59"/>
      <c r="V58" s="59"/>
    </row>
    <row r="59" spans="1:22" x14ac:dyDescent="0.15">
      <c r="B59" s="59"/>
      <c r="C59" s="59"/>
      <c r="D59" s="59"/>
      <c r="E59" s="59"/>
      <c r="F59" s="59"/>
      <c r="G59" s="59"/>
      <c r="H59" s="59"/>
      <c r="I59" s="59"/>
      <c r="J59" s="59"/>
      <c r="K59" s="59"/>
      <c r="L59" s="59"/>
      <c r="M59" s="59"/>
      <c r="N59" s="59"/>
      <c r="O59" s="59"/>
      <c r="P59" s="59"/>
      <c r="Q59" s="59"/>
      <c r="R59" s="59"/>
      <c r="S59" s="59"/>
      <c r="T59" s="59"/>
      <c r="U59" s="59"/>
      <c r="V59" s="59"/>
    </row>
    <row r="60" spans="1:22" x14ac:dyDescent="0.15">
      <c r="B60" s="59"/>
      <c r="C60" s="59"/>
      <c r="D60" s="59"/>
      <c r="E60" s="59"/>
      <c r="F60" s="59"/>
      <c r="G60" s="59"/>
      <c r="H60" s="59"/>
      <c r="I60" s="59"/>
      <c r="J60" s="59"/>
      <c r="K60" s="59"/>
      <c r="L60" s="59"/>
      <c r="M60" s="59"/>
      <c r="N60" s="59"/>
      <c r="O60" s="59"/>
      <c r="P60" s="59"/>
      <c r="Q60" s="59"/>
      <c r="R60" s="59"/>
      <c r="S60" s="59"/>
      <c r="T60" s="59"/>
      <c r="U60" s="59"/>
      <c r="V60" s="59"/>
    </row>
    <row r="61" spans="1:22" x14ac:dyDescent="0.15">
      <c r="B61" s="59"/>
      <c r="C61" s="59"/>
      <c r="D61" s="59"/>
      <c r="E61" s="59"/>
      <c r="F61" s="59"/>
      <c r="G61" s="59"/>
      <c r="H61" s="59"/>
      <c r="I61" s="59"/>
      <c r="J61" s="59"/>
      <c r="K61" s="59"/>
      <c r="L61" s="59"/>
      <c r="M61" s="59"/>
      <c r="N61" s="59"/>
      <c r="O61" s="59"/>
      <c r="P61" s="59"/>
      <c r="Q61" s="59"/>
      <c r="R61" s="59"/>
      <c r="S61" s="59"/>
      <c r="T61" s="59"/>
      <c r="U61" s="59"/>
      <c r="V61" s="59"/>
    </row>
    <row r="62" spans="1:22" x14ac:dyDescent="0.15">
      <c r="B62" s="59"/>
      <c r="C62" s="59"/>
      <c r="D62" s="59"/>
      <c r="E62" s="59"/>
      <c r="F62" s="59"/>
      <c r="G62" s="59"/>
      <c r="H62" s="59"/>
      <c r="I62" s="59"/>
      <c r="J62" s="59"/>
      <c r="K62" s="59"/>
      <c r="L62" s="59"/>
      <c r="M62" s="59"/>
      <c r="N62" s="59"/>
      <c r="O62" s="59"/>
      <c r="P62" s="59"/>
      <c r="Q62" s="59"/>
      <c r="R62" s="59"/>
      <c r="S62" s="59"/>
      <c r="T62" s="59"/>
      <c r="U62" s="59"/>
      <c r="V62" s="59"/>
    </row>
    <row r="63" spans="1:22" x14ac:dyDescent="0.15">
      <c r="B63" s="59"/>
      <c r="C63" s="59"/>
      <c r="D63" s="59"/>
      <c r="E63" s="59"/>
      <c r="F63" s="59"/>
      <c r="G63" s="59"/>
      <c r="H63" s="59"/>
      <c r="I63" s="59"/>
      <c r="J63" s="59"/>
      <c r="K63" s="59"/>
      <c r="L63" s="59"/>
      <c r="M63" s="59"/>
      <c r="N63" s="59"/>
      <c r="O63" s="59"/>
      <c r="P63" s="59"/>
      <c r="Q63" s="59"/>
      <c r="R63" s="59"/>
      <c r="S63" s="59"/>
      <c r="T63" s="59"/>
      <c r="U63" s="59"/>
      <c r="V63" s="59"/>
    </row>
    <row r="64" spans="1:22" x14ac:dyDescent="0.15">
      <c r="B64" s="59"/>
      <c r="C64" s="59"/>
      <c r="D64" s="59"/>
      <c r="E64" s="59"/>
      <c r="F64" s="59"/>
      <c r="G64" s="59"/>
      <c r="H64" s="59"/>
      <c r="I64" s="59"/>
      <c r="J64" s="59"/>
      <c r="K64" s="59"/>
      <c r="L64" s="59"/>
      <c r="M64" s="59"/>
      <c r="N64" s="59"/>
      <c r="O64" s="59"/>
      <c r="P64" s="59"/>
      <c r="Q64" s="59"/>
      <c r="R64" s="59"/>
      <c r="S64" s="59"/>
      <c r="T64" s="59"/>
      <c r="U64" s="59"/>
      <c r="V64" s="59"/>
    </row>
    <row r="65" spans="2:22" x14ac:dyDescent="0.15">
      <c r="B65" s="59"/>
      <c r="C65" s="59"/>
      <c r="D65" s="59"/>
      <c r="E65" s="59"/>
      <c r="F65" s="59"/>
      <c r="G65" s="59"/>
      <c r="H65" s="59"/>
      <c r="I65" s="59"/>
      <c r="J65" s="59"/>
      <c r="K65" s="59"/>
      <c r="L65" s="59"/>
      <c r="M65" s="59"/>
      <c r="N65" s="59"/>
      <c r="O65" s="59"/>
      <c r="P65" s="59"/>
      <c r="Q65" s="59"/>
      <c r="R65" s="59"/>
      <c r="S65" s="59"/>
      <c r="T65" s="59"/>
      <c r="U65" s="59"/>
      <c r="V65" s="59"/>
    </row>
    <row r="66" spans="2:22" x14ac:dyDescent="0.15">
      <c r="B66" s="59"/>
      <c r="C66" s="59"/>
      <c r="D66" s="59"/>
      <c r="E66" s="59"/>
      <c r="F66" s="59"/>
      <c r="G66" s="59"/>
      <c r="H66" s="59"/>
      <c r="I66" s="59"/>
      <c r="J66" s="59"/>
      <c r="K66" s="59"/>
      <c r="L66" s="59"/>
      <c r="M66" s="59"/>
      <c r="N66" s="59"/>
      <c r="O66" s="59"/>
      <c r="P66" s="59"/>
      <c r="Q66" s="59"/>
      <c r="R66" s="59"/>
      <c r="S66" s="59"/>
      <c r="T66" s="59"/>
      <c r="U66" s="59"/>
      <c r="V66" s="59"/>
    </row>
    <row r="67" spans="2:22" x14ac:dyDescent="0.15">
      <c r="B67" s="59"/>
      <c r="C67" s="59"/>
      <c r="D67" s="59"/>
      <c r="E67" s="59"/>
      <c r="F67" s="59"/>
      <c r="G67" s="59"/>
      <c r="H67" s="59"/>
      <c r="I67" s="59"/>
      <c r="J67" s="59"/>
      <c r="K67" s="59"/>
      <c r="L67" s="59"/>
      <c r="M67" s="59"/>
      <c r="N67" s="59"/>
      <c r="O67" s="59"/>
      <c r="P67" s="59"/>
      <c r="Q67" s="59"/>
      <c r="R67" s="59"/>
      <c r="S67" s="59"/>
      <c r="T67" s="59"/>
      <c r="U67" s="59"/>
      <c r="V67" s="59"/>
    </row>
    <row r="68" spans="2:22" x14ac:dyDescent="0.15">
      <c r="B68" s="72"/>
      <c r="C68" s="72"/>
      <c r="D68" s="72"/>
      <c r="E68" s="72"/>
      <c r="F68" s="72"/>
      <c r="G68" s="72"/>
      <c r="H68" s="72"/>
      <c r="I68" s="72"/>
      <c r="J68" s="72"/>
      <c r="K68" s="72"/>
      <c r="L68" s="72"/>
      <c r="M68" s="72"/>
      <c r="N68" s="72"/>
      <c r="O68" s="72"/>
      <c r="P68" s="72"/>
      <c r="Q68" s="72"/>
      <c r="R68" s="72"/>
      <c r="S68" s="72"/>
      <c r="T68" s="72"/>
      <c r="U68" s="72"/>
      <c r="V68" s="72"/>
    </row>
    <row r="69" spans="2:22" x14ac:dyDescent="0.15">
      <c r="B69" s="72"/>
      <c r="C69" s="72"/>
      <c r="D69" s="72"/>
      <c r="E69" s="72"/>
      <c r="F69" s="72"/>
      <c r="G69" s="72"/>
      <c r="H69" s="72"/>
      <c r="I69" s="72"/>
      <c r="J69" s="72"/>
      <c r="K69" s="72"/>
      <c r="L69" s="72"/>
      <c r="M69" s="72"/>
      <c r="N69" s="72"/>
      <c r="O69" s="72"/>
      <c r="P69" s="72"/>
      <c r="Q69" s="72"/>
      <c r="R69" s="72"/>
      <c r="S69" s="72"/>
      <c r="T69" s="72"/>
      <c r="U69" s="72"/>
      <c r="V69" s="72"/>
    </row>
    <row r="70" spans="2:22" x14ac:dyDescent="0.15">
      <c r="B70" s="72"/>
      <c r="C70" s="72"/>
      <c r="D70" s="72"/>
      <c r="E70" s="72"/>
      <c r="F70" s="72"/>
      <c r="G70" s="72"/>
      <c r="H70" s="72"/>
      <c r="I70" s="72"/>
      <c r="J70" s="72"/>
      <c r="K70" s="72"/>
      <c r="L70" s="72"/>
      <c r="M70" s="72"/>
      <c r="N70" s="72"/>
      <c r="O70" s="72"/>
      <c r="P70" s="72"/>
      <c r="Q70" s="72"/>
      <c r="R70" s="72"/>
      <c r="S70" s="72"/>
      <c r="T70" s="72"/>
      <c r="U70" s="72"/>
      <c r="V70" s="72"/>
    </row>
    <row r="71" spans="2:22" x14ac:dyDescent="0.15">
      <c r="B71" s="72"/>
      <c r="C71" s="72"/>
      <c r="D71" s="72"/>
      <c r="E71" s="72"/>
      <c r="F71" s="72"/>
      <c r="G71" s="72"/>
      <c r="H71" s="72"/>
      <c r="I71" s="72"/>
      <c r="J71" s="72"/>
      <c r="K71" s="72"/>
      <c r="L71" s="72"/>
      <c r="M71" s="72"/>
      <c r="N71" s="72"/>
      <c r="O71" s="72"/>
      <c r="P71" s="72"/>
      <c r="Q71" s="72"/>
      <c r="R71" s="72"/>
      <c r="S71" s="72"/>
      <c r="T71" s="72"/>
      <c r="U71" s="72"/>
      <c r="V71" s="72"/>
    </row>
    <row r="72" spans="2:22" x14ac:dyDescent="0.15">
      <c r="B72" s="72"/>
      <c r="C72" s="72"/>
      <c r="D72" s="72"/>
      <c r="E72" s="72"/>
      <c r="F72" s="72"/>
      <c r="G72" s="72"/>
      <c r="H72" s="72"/>
      <c r="I72" s="72"/>
      <c r="J72" s="72"/>
      <c r="K72" s="72"/>
      <c r="L72" s="72"/>
      <c r="M72" s="72"/>
      <c r="N72" s="72"/>
      <c r="O72" s="72"/>
      <c r="P72" s="72"/>
      <c r="Q72" s="72"/>
      <c r="R72" s="72"/>
      <c r="S72" s="72"/>
      <c r="T72" s="72"/>
      <c r="U72" s="72"/>
      <c r="V72" s="72"/>
    </row>
    <row r="100" spans="8:11" ht="1.5" customHeight="1" x14ac:dyDescent="0.15"/>
    <row r="101" spans="8:11" hidden="1" x14ac:dyDescent="0.15"/>
    <row r="102" spans="8:11" ht="159.75" customHeight="1" x14ac:dyDescent="0.15"/>
    <row r="103" spans="8:11" ht="154.5" customHeight="1" x14ac:dyDescent="0.15">
      <c r="K103" s="42"/>
    </row>
    <row r="105" spans="8:11" x14ac:dyDescent="0.15">
      <c r="H105" s="42" t="s">
        <v>116</v>
      </c>
    </row>
  </sheetData>
  <mergeCells count="5">
    <mergeCell ref="C56:E56"/>
    <mergeCell ref="C57:E57"/>
    <mergeCell ref="A57:B57"/>
    <mergeCell ref="A56:B56"/>
    <mergeCell ref="A1:I2"/>
  </mergeCells>
  <hyperlinks>
    <hyperlink ref="A13" location="' Cash flow'!J102" display="fixed costs" xr:uid="{00000000-0004-0000-0500-000000000000}"/>
    <hyperlink ref="A14" location="' Cash flow'!J103" display="annual costs" xr:uid="{00000000-0004-0000-0500-000001000000}"/>
    <hyperlink ref="H105" location="Calculator!A1" display="Back to the Calculator" xr:uid="{00000000-0004-0000-0500-000002000000}"/>
  </hyperlink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68"/>
  <sheetViews>
    <sheetView showGridLines="0" workbookViewId="0">
      <selection activeCell="A4" sqref="A4:C4"/>
    </sheetView>
  </sheetViews>
  <sheetFormatPr baseColWidth="10" defaultColWidth="9.1640625" defaultRowHeight="14" x14ac:dyDescent="0.15"/>
  <cols>
    <col min="1" max="1" width="28.5" style="13" bestFit="1" customWidth="1"/>
    <col min="2" max="3" width="14.5" style="13" bestFit="1" customWidth="1"/>
    <col min="4" max="4" width="22.33203125" style="13" bestFit="1" customWidth="1"/>
    <col min="5" max="5" width="54.1640625" style="13" customWidth="1"/>
    <col min="6" max="16384" width="9.1640625" style="13"/>
  </cols>
  <sheetData>
    <row r="1" spans="1:13" s="163" customFormat="1" ht="61.5" customHeight="1" x14ac:dyDescent="0.2">
      <c r="A1" s="384" t="s">
        <v>244</v>
      </c>
      <c r="B1" s="384"/>
      <c r="C1" s="384"/>
      <c r="D1" s="384"/>
      <c r="E1" s="384"/>
      <c r="F1" s="384"/>
      <c r="G1" s="384"/>
    </row>
    <row r="2" spans="1:13" ht="2.25" customHeight="1" x14ac:dyDescent="0.15">
      <c r="E2" s="57"/>
    </row>
    <row r="3" spans="1:13" ht="67.5" customHeight="1" x14ac:dyDescent="0.15">
      <c r="A3" s="382" t="s">
        <v>245</v>
      </c>
      <c r="B3" s="383"/>
      <c r="C3" s="383"/>
      <c r="D3" s="164">
        <f>SUM(C5:C25)</f>
        <v>-74712.720135408556</v>
      </c>
      <c r="E3" s="386" t="s">
        <v>246</v>
      </c>
      <c r="F3" s="386"/>
      <c r="G3" s="386"/>
      <c r="H3" s="386"/>
      <c r="I3" s="386"/>
      <c r="J3" s="386"/>
    </row>
    <row r="4" spans="1:13" x14ac:dyDescent="0.15">
      <c r="A4" s="121" t="s">
        <v>1</v>
      </c>
      <c r="B4" s="121" t="s">
        <v>247</v>
      </c>
      <c r="C4" s="238" t="s">
        <v>248</v>
      </c>
      <c r="E4" s="58"/>
    </row>
    <row r="5" spans="1:13" x14ac:dyDescent="0.15">
      <c r="A5" s="34">
        <v>0</v>
      </c>
      <c r="B5" s="60">
        <f>Budget!B33</f>
        <v>-20250</v>
      </c>
      <c r="C5" s="61">
        <f>B5</f>
        <v>-20250</v>
      </c>
      <c r="E5" s="385"/>
      <c r="F5" s="385"/>
      <c r="G5" s="385"/>
      <c r="H5" s="385"/>
      <c r="I5" s="385"/>
      <c r="J5" s="385"/>
      <c r="K5" s="385"/>
      <c r="L5" s="62"/>
      <c r="M5" s="62"/>
    </row>
    <row r="6" spans="1:13" x14ac:dyDescent="0.15">
      <c r="A6" s="34">
        <v>1</v>
      </c>
      <c r="B6" s="60">
        <f>Budget!C33</f>
        <v>-107811.2104848093</v>
      </c>
      <c r="C6" s="63">
        <f t="shared" ref="C6:C25" si="0">PV(CoC_Discountrate,A6,0,-B6)</f>
        <v>-101708.68913661255</v>
      </c>
      <c r="E6" s="385"/>
      <c r="F6" s="385"/>
      <c r="G6" s="385"/>
      <c r="H6" s="385"/>
      <c r="I6" s="385"/>
      <c r="J6" s="385"/>
      <c r="K6" s="385"/>
      <c r="L6" s="62"/>
      <c r="M6" s="62"/>
    </row>
    <row r="7" spans="1:13" x14ac:dyDescent="0.15">
      <c r="A7" s="34">
        <v>2</v>
      </c>
      <c r="B7" s="60">
        <f>Budget!D33</f>
        <v>-145686.2104848093</v>
      </c>
      <c r="C7" s="63">
        <f t="shared" si="0"/>
        <v>-129660.20869064549</v>
      </c>
      <c r="E7" s="385"/>
      <c r="F7" s="385"/>
      <c r="G7" s="385"/>
      <c r="H7" s="385"/>
      <c r="I7" s="385"/>
      <c r="J7" s="385"/>
      <c r="K7" s="385"/>
      <c r="L7" s="62"/>
      <c r="M7" s="62"/>
    </row>
    <row r="8" spans="1:13" x14ac:dyDescent="0.15">
      <c r="A8" s="34">
        <v>3</v>
      </c>
      <c r="B8" s="60">
        <f>Budget!E33</f>
        <v>-138561.2104848093</v>
      </c>
      <c r="C8" s="63">
        <f t="shared" si="0"/>
        <v>-116338.66420334342</v>
      </c>
      <c r="E8" s="385"/>
      <c r="F8" s="385"/>
      <c r="G8" s="385"/>
      <c r="H8" s="385"/>
      <c r="I8" s="385"/>
      <c r="J8" s="385"/>
      <c r="K8" s="385"/>
      <c r="L8" s="62"/>
      <c r="M8" s="62"/>
    </row>
    <row r="9" spans="1:13" x14ac:dyDescent="0.15">
      <c r="A9" s="34">
        <v>4</v>
      </c>
      <c r="B9" s="60">
        <f>Budget!F33</f>
        <v>-48561.2104848093</v>
      </c>
      <c r="C9" s="63">
        <f t="shared" si="0"/>
        <v>-38465.027104185167</v>
      </c>
      <c r="E9" s="385"/>
      <c r="F9" s="385"/>
      <c r="G9" s="385"/>
      <c r="H9" s="385"/>
      <c r="I9" s="385"/>
      <c r="J9" s="385"/>
      <c r="K9" s="385"/>
      <c r="L9" s="62"/>
      <c r="M9" s="62"/>
    </row>
    <row r="10" spans="1:13" x14ac:dyDescent="0.15">
      <c r="A10" s="34">
        <v>5</v>
      </c>
      <c r="B10" s="60">
        <f>Budget!G33</f>
        <v>41438.7895151907</v>
      </c>
      <c r="C10" s="63">
        <f t="shared" si="0"/>
        <v>30965.474138902518</v>
      </c>
      <c r="E10" s="385"/>
      <c r="F10" s="385"/>
      <c r="G10" s="385"/>
      <c r="H10" s="385"/>
      <c r="I10" s="385"/>
      <c r="J10" s="385"/>
      <c r="K10" s="385"/>
      <c r="L10" s="62"/>
      <c r="M10" s="62"/>
    </row>
    <row r="11" spans="1:13" x14ac:dyDescent="0.15">
      <c r="A11" s="34">
        <v>6</v>
      </c>
      <c r="B11" s="60">
        <f>Budget!H33</f>
        <v>41438.7895151907</v>
      </c>
      <c r="C11" s="63">
        <f t="shared" si="0"/>
        <v>29212.711451794828</v>
      </c>
      <c r="E11" s="385"/>
      <c r="F11" s="385"/>
      <c r="G11" s="385"/>
      <c r="H11" s="385"/>
      <c r="I11" s="385"/>
      <c r="J11" s="385"/>
      <c r="K11" s="385"/>
      <c r="L11" s="62"/>
      <c r="M11" s="62"/>
    </row>
    <row r="12" spans="1:13" x14ac:dyDescent="0.15">
      <c r="A12" s="34">
        <v>7</v>
      </c>
      <c r="B12" s="60">
        <f>Budget!I33</f>
        <v>41438.7895151907</v>
      </c>
      <c r="C12" s="63">
        <f t="shared" si="0"/>
        <v>27559.16174697625</v>
      </c>
      <c r="E12" s="385"/>
      <c r="F12" s="385"/>
      <c r="G12" s="385"/>
      <c r="H12" s="385"/>
      <c r="I12" s="385"/>
      <c r="J12" s="385"/>
      <c r="K12" s="385"/>
      <c r="L12" s="62"/>
      <c r="M12" s="62"/>
    </row>
    <row r="13" spans="1:13" x14ac:dyDescent="0.15">
      <c r="A13" s="34">
        <v>8</v>
      </c>
      <c r="B13" s="60">
        <f>Budget!J33</f>
        <v>41438.7895151907</v>
      </c>
      <c r="C13" s="63">
        <f t="shared" si="0"/>
        <v>25999.209195260613</v>
      </c>
      <c r="E13" s="385"/>
      <c r="F13" s="385"/>
      <c r="G13" s="385"/>
      <c r="H13" s="385"/>
      <c r="I13" s="385"/>
      <c r="J13" s="385"/>
      <c r="K13" s="385"/>
      <c r="L13" s="62"/>
      <c r="M13" s="62"/>
    </row>
    <row r="14" spans="1:13" x14ac:dyDescent="0.15">
      <c r="A14" s="34">
        <v>9</v>
      </c>
      <c r="B14" s="60">
        <f>Budget!K33</f>
        <v>41438.7895151907</v>
      </c>
      <c r="C14" s="63">
        <f t="shared" si="0"/>
        <v>24527.555844585484</v>
      </c>
      <c r="E14" s="385"/>
      <c r="F14" s="385"/>
      <c r="G14" s="385"/>
      <c r="H14" s="385"/>
      <c r="I14" s="385"/>
      <c r="J14" s="385"/>
      <c r="K14" s="385"/>
      <c r="L14" s="62"/>
      <c r="M14" s="62"/>
    </row>
    <row r="15" spans="1:13" x14ac:dyDescent="0.15">
      <c r="A15" s="34">
        <v>10</v>
      </c>
      <c r="B15" s="60">
        <f>Budget!L33</f>
        <v>41438.7895151907</v>
      </c>
      <c r="C15" s="63">
        <f t="shared" si="0"/>
        <v>23139.203626967435</v>
      </c>
      <c r="E15" s="385"/>
      <c r="F15" s="385"/>
      <c r="G15" s="385"/>
      <c r="H15" s="385"/>
      <c r="I15" s="385"/>
      <c r="J15" s="385"/>
      <c r="K15" s="385"/>
      <c r="L15" s="62"/>
      <c r="M15" s="62"/>
    </row>
    <row r="16" spans="1:13" x14ac:dyDescent="0.15">
      <c r="A16" s="34">
        <v>11</v>
      </c>
      <c r="B16" s="60">
        <f>Budget!M33</f>
        <v>41438.7895151907</v>
      </c>
      <c r="C16" s="63">
        <f t="shared" si="0"/>
        <v>21829.437383931541</v>
      </c>
      <c r="E16" s="385"/>
      <c r="F16" s="385"/>
      <c r="G16" s="385"/>
      <c r="H16" s="385"/>
      <c r="I16" s="385"/>
      <c r="J16" s="385"/>
      <c r="K16" s="385"/>
      <c r="L16" s="62"/>
      <c r="M16" s="62"/>
    </row>
    <row r="17" spans="1:13" x14ac:dyDescent="0.15">
      <c r="A17" s="34">
        <v>12</v>
      </c>
      <c r="B17" s="60">
        <f>Budget!N33</f>
        <v>41438.7895151907</v>
      </c>
      <c r="C17" s="63">
        <f t="shared" si="0"/>
        <v>20593.808852765604</v>
      </c>
      <c r="E17" s="385"/>
      <c r="F17" s="385"/>
      <c r="G17" s="385"/>
      <c r="H17" s="385"/>
      <c r="I17" s="385"/>
      <c r="J17" s="385"/>
      <c r="K17" s="385"/>
      <c r="L17" s="62"/>
      <c r="M17" s="62"/>
    </row>
    <row r="18" spans="1:13" x14ac:dyDescent="0.15">
      <c r="A18" s="34">
        <v>13</v>
      </c>
      <c r="B18" s="60">
        <f>Budget!O33</f>
        <v>41438.7895151907</v>
      </c>
      <c r="C18" s="63">
        <f t="shared" si="0"/>
        <v>19428.121559212832</v>
      </c>
      <c r="E18" s="385"/>
      <c r="F18" s="385"/>
      <c r="G18" s="385"/>
      <c r="H18" s="385"/>
      <c r="I18" s="385"/>
      <c r="J18" s="385"/>
      <c r="K18" s="385"/>
      <c r="L18" s="62"/>
      <c r="M18" s="62"/>
    </row>
    <row r="19" spans="1:13" x14ac:dyDescent="0.15">
      <c r="A19" s="34">
        <v>14</v>
      </c>
      <c r="B19" s="60">
        <f>Budget!P33</f>
        <v>41438.7895151907</v>
      </c>
      <c r="C19" s="63">
        <f t="shared" si="0"/>
        <v>18328.416565295123</v>
      </c>
      <c r="E19" s="385"/>
      <c r="F19" s="385"/>
      <c r="G19" s="385"/>
      <c r="H19" s="385"/>
      <c r="I19" s="385"/>
      <c r="J19" s="385"/>
      <c r="K19" s="385"/>
      <c r="L19" s="62"/>
      <c r="M19" s="62"/>
    </row>
    <row r="20" spans="1:13" x14ac:dyDescent="0.15">
      <c r="A20" s="34">
        <v>15</v>
      </c>
      <c r="B20" s="60">
        <f>Budget!Q33</f>
        <v>41438.7895151907</v>
      </c>
      <c r="C20" s="63">
        <f t="shared" si="0"/>
        <v>17290.959023863321</v>
      </c>
      <c r="E20" s="385"/>
      <c r="F20" s="385"/>
      <c r="G20" s="385"/>
      <c r="H20" s="385"/>
      <c r="I20" s="385"/>
      <c r="J20" s="385"/>
      <c r="K20" s="385"/>
      <c r="L20" s="62"/>
      <c r="M20" s="62"/>
    </row>
    <row r="21" spans="1:13" x14ac:dyDescent="0.15">
      <c r="A21" s="34">
        <v>16</v>
      </c>
      <c r="B21" s="60">
        <f>Budget!R33</f>
        <v>41438.7895151907</v>
      </c>
      <c r="C21" s="63">
        <f t="shared" si="0"/>
        <v>16312.225494210683</v>
      </c>
      <c r="E21" s="385"/>
      <c r="F21" s="385"/>
      <c r="G21" s="385"/>
      <c r="H21" s="385"/>
      <c r="I21" s="385"/>
      <c r="J21" s="385"/>
      <c r="K21" s="385"/>
      <c r="L21" s="62"/>
      <c r="M21" s="62"/>
    </row>
    <row r="22" spans="1:13" x14ac:dyDescent="0.15">
      <c r="A22" s="34">
        <v>17</v>
      </c>
      <c r="B22" s="60">
        <f>Budget!S33</f>
        <v>41438.7895151907</v>
      </c>
      <c r="C22" s="63">
        <f t="shared" si="0"/>
        <v>15388.891975670454</v>
      </c>
      <c r="E22" s="385"/>
      <c r="F22" s="385"/>
      <c r="G22" s="385"/>
      <c r="H22" s="385"/>
      <c r="I22" s="385"/>
      <c r="J22" s="385"/>
      <c r="K22" s="385"/>
      <c r="L22" s="62"/>
      <c r="M22" s="62"/>
    </row>
    <row r="23" spans="1:13" x14ac:dyDescent="0.15">
      <c r="A23" s="34">
        <v>18</v>
      </c>
      <c r="B23" s="60">
        <f>Budget!T33</f>
        <v>41438.7895151907</v>
      </c>
      <c r="C23" s="63">
        <f t="shared" si="0"/>
        <v>14517.822618557033</v>
      </c>
      <c r="E23" s="385"/>
      <c r="F23" s="385"/>
      <c r="G23" s="385"/>
      <c r="H23" s="385"/>
      <c r="I23" s="385"/>
      <c r="J23" s="385"/>
      <c r="K23" s="385"/>
      <c r="L23" s="62"/>
      <c r="M23" s="62"/>
    </row>
    <row r="24" spans="1:13" x14ac:dyDescent="0.15">
      <c r="A24" s="34">
        <v>19</v>
      </c>
      <c r="B24" s="60">
        <f>Budget!U33</f>
        <v>41438.7895151907</v>
      </c>
      <c r="C24" s="63">
        <f t="shared" si="0"/>
        <v>13696.059074110406</v>
      </c>
      <c r="E24" s="385"/>
      <c r="F24" s="385"/>
      <c r="G24" s="385"/>
      <c r="H24" s="385"/>
      <c r="I24" s="385"/>
      <c r="J24" s="385"/>
      <c r="K24" s="385"/>
      <c r="L24" s="62"/>
      <c r="M24" s="62"/>
    </row>
    <row r="25" spans="1:13" x14ac:dyDescent="0.15">
      <c r="A25" s="34">
        <v>20</v>
      </c>
      <c r="B25" s="60">
        <f>Budget!V33</f>
        <v>41438.7895151907</v>
      </c>
      <c r="C25" s="63">
        <f t="shared" si="0"/>
        <v>12920.810447273969</v>
      </c>
      <c r="E25" s="385"/>
      <c r="F25" s="385"/>
      <c r="G25" s="385"/>
      <c r="H25" s="385"/>
      <c r="I25" s="385"/>
      <c r="J25" s="385"/>
      <c r="K25" s="385"/>
      <c r="L25" s="62"/>
      <c r="M25" s="62"/>
    </row>
    <row r="26" spans="1:13" x14ac:dyDescent="0.15">
      <c r="E26" s="385"/>
      <c r="F26" s="385"/>
      <c r="G26" s="385"/>
      <c r="H26" s="385"/>
      <c r="I26" s="385"/>
      <c r="J26" s="385"/>
      <c r="K26" s="385"/>
      <c r="L26" s="62"/>
      <c r="M26" s="62"/>
    </row>
    <row r="27" spans="1:13" ht="15" thickBot="1" x14ac:dyDescent="0.2">
      <c r="E27" s="385"/>
      <c r="F27" s="385"/>
      <c r="G27" s="385"/>
      <c r="H27" s="385"/>
      <c r="I27" s="385"/>
      <c r="J27" s="385"/>
      <c r="K27" s="385"/>
      <c r="L27" s="62"/>
      <c r="M27" s="62"/>
    </row>
    <row r="28" spans="1:13" ht="17" thickBot="1" x14ac:dyDescent="0.25">
      <c r="A28" s="167" t="s">
        <v>249</v>
      </c>
      <c r="B28" s="168">
        <f>SUM(B5:B25)</f>
        <v>202150.79030381399</v>
      </c>
      <c r="C28" s="169">
        <f>SUM(C5:C25)</f>
        <v>-74712.720135408556</v>
      </c>
      <c r="E28" s="385"/>
      <c r="F28" s="385"/>
      <c r="G28" s="385"/>
      <c r="H28" s="385"/>
      <c r="I28" s="385"/>
      <c r="J28" s="385"/>
      <c r="K28" s="385"/>
      <c r="L28" s="62"/>
      <c r="M28" s="62"/>
    </row>
    <row r="29" spans="1:13" x14ac:dyDescent="0.15">
      <c r="E29" s="385"/>
      <c r="F29" s="385"/>
      <c r="G29" s="385"/>
      <c r="H29" s="385"/>
      <c r="I29" s="385"/>
      <c r="J29" s="385"/>
      <c r="K29" s="385"/>
      <c r="L29" s="62"/>
      <c r="M29" s="62"/>
    </row>
    <row r="30" spans="1:13" x14ac:dyDescent="0.15">
      <c r="E30" s="385"/>
      <c r="F30" s="385"/>
      <c r="G30" s="385"/>
      <c r="H30" s="385"/>
      <c r="I30" s="385"/>
      <c r="J30" s="385"/>
      <c r="K30" s="385"/>
      <c r="L30" s="62"/>
      <c r="M30" s="62"/>
    </row>
    <row r="31" spans="1:13" x14ac:dyDescent="0.15">
      <c r="E31" s="385"/>
      <c r="F31" s="385"/>
      <c r="G31" s="385"/>
      <c r="H31" s="385"/>
      <c r="I31" s="385"/>
      <c r="J31" s="385"/>
      <c r="K31" s="385"/>
      <c r="L31" s="62"/>
      <c r="M31" s="62"/>
    </row>
    <row r="32" spans="1:13" x14ac:dyDescent="0.15">
      <c r="E32" s="385"/>
      <c r="F32" s="385"/>
      <c r="G32" s="385"/>
      <c r="H32" s="385"/>
      <c r="I32" s="385"/>
      <c r="J32" s="385"/>
      <c r="K32" s="385"/>
      <c r="L32" s="62"/>
      <c r="M32" s="62"/>
    </row>
    <row r="33" spans="5:13" x14ac:dyDescent="0.15">
      <c r="E33" s="385"/>
      <c r="F33" s="385"/>
      <c r="G33" s="385"/>
      <c r="H33" s="385"/>
      <c r="I33" s="385"/>
      <c r="J33" s="385"/>
      <c r="K33" s="385"/>
      <c r="L33" s="62"/>
      <c r="M33" s="62"/>
    </row>
    <row r="34" spans="5:13" x14ac:dyDescent="0.15">
      <c r="E34" s="385"/>
      <c r="F34" s="385"/>
      <c r="G34" s="385"/>
      <c r="H34" s="385"/>
      <c r="I34" s="385"/>
      <c r="J34" s="385"/>
      <c r="K34" s="385"/>
      <c r="L34" s="62"/>
      <c r="M34" s="62"/>
    </row>
    <row r="35" spans="5:13" x14ac:dyDescent="0.15">
      <c r="E35" s="385"/>
      <c r="F35" s="385"/>
      <c r="G35" s="385"/>
      <c r="H35" s="385"/>
      <c r="I35" s="385"/>
      <c r="J35" s="385"/>
      <c r="K35" s="385"/>
      <c r="L35" s="62"/>
      <c r="M35" s="62"/>
    </row>
    <row r="36" spans="5:13" x14ac:dyDescent="0.15">
      <c r="E36" s="385"/>
      <c r="F36" s="385"/>
      <c r="G36" s="385"/>
      <c r="H36" s="385"/>
      <c r="I36" s="385"/>
      <c r="J36" s="385"/>
      <c r="K36" s="385"/>
      <c r="L36" s="62"/>
      <c r="M36" s="62"/>
    </row>
    <row r="37" spans="5:13" x14ac:dyDescent="0.15">
      <c r="E37" s="385"/>
      <c r="F37" s="385"/>
      <c r="G37" s="385"/>
      <c r="H37" s="385"/>
      <c r="I37" s="385"/>
      <c r="J37" s="385"/>
      <c r="K37" s="385"/>
      <c r="L37" s="62"/>
      <c r="M37" s="62"/>
    </row>
    <row r="38" spans="5:13" x14ac:dyDescent="0.15">
      <c r="E38" s="385"/>
      <c r="F38" s="385"/>
      <c r="G38" s="385"/>
      <c r="H38" s="385"/>
      <c r="I38" s="385"/>
      <c r="J38" s="385"/>
      <c r="K38" s="385"/>
      <c r="L38" s="62"/>
      <c r="M38" s="62"/>
    </row>
    <row r="39" spans="5:13" x14ac:dyDescent="0.15">
      <c r="E39" s="385"/>
      <c r="F39" s="385"/>
      <c r="G39" s="385"/>
      <c r="H39" s="385"/>
      <c r="I39" s="385"/>
      <c r="J39" s="385"/>
      <c r="K39" s="385"/>
      <c r="L39" s="62"/>
      <c r="M39" s="62"/>
    </row>
    <row r="40" spans="5:13" x14ac:dyDescent="0.15">
      <c r="E40" s="385"/>
      <c r="F40" s="385"/>
      <c r="G40" s="385"/>
      <c r="H40" s="385"/>
      <c r="I40" s="385"/>
      <c r="J40" s="385"/>
      <c r="K40" s="385"/>
      <c r="L40" s="62"/>
      <c r="M40" s="62"/>
    </row>
    <row r="41" spans="5:13" x14ac:dyDescent="0.15">
      <c r="E41" s="385"/>
      <c r="F41" s="385"/>
      <c r="G41" s="385"/>
      <c r="H41" s="385"/>
      <c r="I41" s="385"/>
      <c r="J41" s="385"/>
      <c r="K41" s="385"/>
      <c r="L41" s="62"/>
      <c r="M41" s="62"/>
    </row>
    <row r="42" spans="5:13" x14ac:dyDescent="0.15">
      <c r="E42" s="385"/>
      <c r="F42" s="385"/>
      <c r="G42" s="385"/>
      <c r="H42" s="385"/>
      <c r="I42" s="385"/>
      <c r="J42" s="385"/>
      <c r="K42" s="385"/>
      <c r="L42" s="62"/>
      <c r="M42" s="62"/>
    </row>
    <row r="43" spans="5:13" x14ac:dyDescent="0.15">
      <c r="E43" s="385"/>
      <c r="F43" s="385"/>
      <c r="G43" s="385"/>
      <c r="H43" s="385"/>
      <c r="I43" s="385"/>
      <c r="J43" s="385"/>
      <c r="K43" s="385"/>
      <c r="L43" s="62"/>
      <c r="M43" s="62"/>
    </row>
    <row r="44" spans="5:13" x14ac:dyDescent="0.15">
      <c r="E44" s="385"/>
      <c r="F44" s="385"/>
      <c r="G44" s="385"/>
      <c r="H44" s="385"/>
      <c r="I44" s="385"/>
      <c r="J44" s="385"/>
      <c r="K44" s="385"/>
      <c r="L44" s="62"/>
      <c r="M44" s="62"/>
    </row>
    <row r="45" spans="5:13" x14ac:dyDescent="0.15">
      <c r="E45" s="385"/>
      <c r="F45" s="385"/>
      <c r="G45" s="385"/>
      <c r="H45" s="385"/>
      <c r="I45" s="385"/>
      <c r="J45" s="385"/>
      <c r="K45" s="385"/>
      <c r="L45" s="62"/>
      <c r="M45" s="62"/>
    </row>
    <row r="46" spans="5:13" x14ac:dyDescent="0.15">
      <c r="E46" s="385"/>
      <c r="F46" s="385"/>
      <c r="G46" s="385"/>
      <c r="H46" s="385"/>
      <c r="I46" s="385"/>
      <c r="J46" s="385"/>
      <c r="K46" s="385"/>
      <c r="L46" s="62"/>
      <c r="M46" s="62"/>
    </row>
    <row r="47" spans="5:13" x14ac:dyDescent="0.15">
      <c r="E47" s="385"/>
      <c r="F47" s="385"/>
      <c r="G47" s="385"/>
      <c r="H47" s="385"/>
      <c r="I47" s="385"/>
      <c r="J47" s="385"/>
      <c r="K47" s="385"/>
      <c r="L47" s="62"/>
      <c r="M47" s="62"/>
    </row>
    <row r="48" spans="5:13" x14ac:dyDescent="0.15">
      <c r="E48" s="385"/>
      <c r="F48" s="385"/>
      <c r="G48" s="385"/>
      <c r="H48" s="385"/>
      <c r="I48" s="385"/>
      <c r="J48" s="385"/>
      <c r="K48" s="385"/>
      <c r="L48" s="62"/>
      <c r="M48" s="62"/>
    </row>
    <row r="49" spans="5:13" x14ac:dyDescent="0.15">
      <c r="E49" s="385"/>
      <c r="F49" s="385"/>
      <c r="G49" s="385"/>
      <c r="H49" s="385"/>
      <c r="I49" s="385"/>
      <c r="J49" s="385"/>
      <c r="K49" s="385"/>
      <c r="L49" s="62"/>
      <c r="M49" s="62"/>
    </row>
    <row r="50" spans="5:13" x14ac:dyDescent="0.15">
      <c r="E50" s="385"/>
      <c r="F50" s="385"/>
      <c r="G50" s="385"/>
      <c r="H50" s="385"/>
      <c r="I50" s="385"/>
      <c r="J50" s="385"/>
      <c r="K50" s="385"/>
      <c r="L50" s="62"/>
      <c r="M50" s="62"/>
    </row>
    <row r="51" spans="5:13" x14ac:dyDescent="0.15">
      <c r="E51" s="385"/>
      <c r="F51" s="385"/>
      <c r="G51" s="385"/>
      <c r="H51" s="385"/>
      <c r="I51" s="385"/>
      <c r="J51" s="385"/>
      <c r="K51" s="385"/>
      <c r="L51" s="62"/>
      <c r="M51" s="62"/>
    </row>
    <row r="52" spans="5:13" x14ac:dyDescent="0.15">
      <c r="E52" s="385"/>
      <c r="F52" s="385"/>
      <c r="G52" s="385"/>
      <c r="H52" s="385"/>
      <c r="I52" s="385"/>
      <c r="J52" s="385"/>
      <c r="K52" s="385"/>
      <c r="L52" s="62"/>
      <c r="M52" s="62"/>
    </row>
    <row r="53" spans="5:13" x14ac:dyDescent="0.15">
      <c r="E53" s="385"/>
      <c r="F53" s="385"/>
      <c r="G53" s="385"/>
      <c r="H53" s="385"/>
      <c r="I53" s="385"/>
      <c r="J53" s="385"/>
      <c r="K53" s="385"/>
      <c r="L53" s="62"/>
      <c r="M53" s="62"/>
    </row>
    <row r="54" spans="5:13" x14ac:dyDescent="0.15">
      <c r="E54" s="385"/>
      <c r="F54" s="385"/>
      <c r="G54" s="385"/>
      <c r="H54" s="385"/>
      <c r="I54" s="385"/>
      <c r="J54" s="385"/>
      <c r="K54" s="385"/>
      <c r="L54" s="62"/>
      <c r="M54" s="62"/>
    </row>
    <row r="68" ht="26" customHeight="1" x14ac:dyDescent="0.15"/>
  </sheetData>
  <mergeCells count="4">
    <mergeCell ref="A3:C3"/>
    <mergeCell ref="A1:G1"/>
    <mergeCell ref="E5:K54"/>
    <mergeCell ref="E3:J3"/>
  </mergeCells>
  <conditionalFormatting sqref="B5:C25">
    <cfRule type="cellIs" dxfId="7" priority="5" operator="lessThan">
      <formula>0</formula>
    </cfRule>
    <cfRule type="cellIs" dxfId="6" priority="6" operator="greaterThan">
      <formula>0</formula>
    </cfRule>
  </conditionalFormatting>
  <conditionalFormatting sqref="D3">
    <cfRule type="cellIs" dxfId="5" priority="3" operator="lessThan">
      <formula>0</formula>
    </cfRule>
    <cfRule type="cellIs" dxfId="4" priority="4" operator="greaterThan">
      <formula>0</formula>
    </cfRule>
  </conditionalFormatting>
  <conditionalFormatting sqref="B28">
    <cfRule type="cellIs" dxfId="3" priority="2" operator="greaterThan">
      <formula>0</formula>
    </cfRule>
  </conditionalFormatting>
  <conditionalFormatting sqref="C28">
    <cfRule type="cellIs" dxfId="2" priority="1" operator="lessThan">
      <formula>0</formula>
    </cfRule>
  </conditionalFormatting>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58"/>
  <sheetViews>
    <sheetView showGridLines="0" workbookViewId="0">
      <selection activeCell="K33" sqref="K33"/>
    </sheetView>
  </sheetViews>
  <sheetFormatPr baseColWidth="10" defaultColWidth="9.1640625" defaultRowHeight="14" x14ac:dyDescent="0.15"/>
  <cols>
    <col min="1" max="1" width="9.1640625" style="13"/>
    <col min="2" max="2" width="16.5" style="13" customWidth="1"/>
    <col min="3" max="3" width="19" style="13" bestFit="1" customWidth="1"/>
    <col min="4" max="5" width="14.6640625" style="13" bestFit="1" customWidth="1"/>
    <col min="6" max="7" width="13.5" style="13" bestFit="1" customWidth="1"/>
    <col min="8" max="8" width="13.33203125" style="13" customWidth="1"/>
    <col min="9" max="9" width="13.33203125" style="13" bestFit="1" customWidth="1"/>
    <col min="10" max="13" width="13.83203125" style="13" bestFit="1" customWidth="1"/>
    <col min="14" max="16384" width="9.1640625" style="13"/>
  </cols>
  <sheetData>
    <row r="1" spans="1:13" ht="27.75" customHeight="1" thickBot="1" x14ac:dyDescent="0.25">
      <c r="A1" s="65" t="s">
        <v>356</v>
      </c>
      <c r="B1" s="65"/>
    </row>
    <row r="2" spans="1:13" ht="123.75" customHeight="1" thickBot="1" x14ac:dyDescent="0.25">
      <c r="A2" s="388" t="s">
        <v>355</v>
      </c>
      <c r="B2" s="389"/>
      <c r="C2" s="389"/>
      <c r="D2" s="389"/>
      <c r="E2" s="390"/>
    </row>
    <row r="3" spans="1:13" x14ac:dyDescent="0.15">
      <c r="A3" s="65"/>
      <c r="B3" s="65"/>
    </row>
    <row r="4" spans="1:13" ht="79.5" customHeight="1" thickBot="1" x14ac:dyDescent="0.3">
      <c r="F4" s="387" t="s">
        <v>125</v>
      </c>
      <c r="G4" s="387"/>
      <c r="H4" s="387"/>
      <c r="I4" s="387"/>
    </row>
    <row r="5" spans="1:13" ht="19" x14ac:dyDescent="0.2">
      <c r="B5" s="184" t="s">
        <v>100</v>
      </c>
      <c r="C5" s="45"/>
      <c r="D5" s="45"/>
      <c r="E5" s="45"/>
      <c r="F5" s="45"/>
      <c r="G5" s="45"/>
      <c r="H5" s="46" t="s">
        <v>18</v>
      </c>
      <c r="I5" s="45"/>
      <c r="J5" s="45"/>
      <c r="K5" s="45"/>
      <c r="L5" s="45"/>
      <c r="M5" s="47"/>
    </row>
    <row r="6" spans="1:13" ht="37.5" customHeight="1" x14ac:dyDescent="0.15">
      <c r="B6" s="44"/>
      <c r="C6" s="185">
        <f>0.5*Calculator!C11</f>
        <v>1.875</v>
      </c>
      <c r="D6" s="185">
        <f>0.6*Calculator!C11</f>
        <v>2.25</v>
      </c>
      <c r="E6" s="185">
        <f>0.7*Calculator!C11</f>
        <v>2.625</v>
      </c>
      <c r="F6" s="185">
        <f>0.8*Calculator!C11</f>
        <v>3</v>
      </c>
      <c r="G6" s="185">
        <f>0.9*Calculator!C11</f>
        <v>3.375</v>
      </c>
      <c r="H6" s="185">
        <f>1*Calculator!C11</f>
        <v>3.75</v>
      </c>
      <c r="I6" s="185">
        <f>1.1*Calculator!C11</f>
        <v>4.125</v>
      </c>
      <c r="J6" s="185">
        <f>1.2*Calculator!C11</f>
        <v>4.5</v>
      </c>
      <c r="K6" s="185">
        <f>1.3*Calculator!C11</f>
        <v>4.875</v>
      </c>
      <c r="L6" s="185">
        <f>1.4*Calculator!C11</f>
        <v>5.25</v>
      </c>
      <c r="M6" s="186">
        <f>1.5*Calculator!C11</f>
        <v>5.625</v>
      </c>
    </row>
    <row r="7" spans="1:13" ht="18" x14ac:dyDescent="0.2">
      <c r="B7" s="48">
        <f>0.7*Calculator!C12</f>
        <v>1400</v>
      </c>
      <c r="C7" s="49">
        <f>Calculator!$C$9*($B$7*C6)-Budget!$L$17</f>
        <v>-104811.2104848093</v>
      </c>
      <c r="D7" s="49">
        <f>Calculator!$C$9*($B$7*D6)-Budget!$L$17</f>
        <v>-89061.2104848093</v>
      </c>
      <c r="E7" s="49">
        <f>Calculator!$C$9*($B$7*E6)-Budget!$L$17</f>
        <v>-73311.2104848093</v>
      </c>
      <c r="F7" s="49">
        <f>Calculator!$C$9*($B$7*F6)-Budget!$L$17</f>
        <v>-57561.2104848093</v>
      </c>
      <c r="G7" s="49">
        <f>Calculator!$C$9*($B$7*G6)-Budget!$L$17</f>
        <v>-41811.2104848093</v>
      </c>
      <c r="H7" s="49">
        <f>Calculator!$C$9*($B$7*H6)-Budget!$L$17</f>
        <v>-26061.2104848093</v>
      </c>
      <c r="I7" s="49">
        <f>Calculator!$C$9*($B$7*I6)-Budget!$L$17</f>
        <v>-10311.2104848093</v>
      </c>
      <c r="J7" s="49">
        <f>Calculator!$C$9*($B$7*J6)-Budget!$L$17</f>
        <v>5438.7895151906996</v>
      </c>
      <c r="K7" s="49">
        <f>Calculator!$C$9*($B$7*K6)-Budget!$L$17</f>
        <v>21188.7895151907</v>
      </c>
      <c r="L7" s="49">
        <f>Calculator!$C$9*($B$7*L6)-Budget!$L$17</f>
        <v>36938.7895151907</v>
      </c>
      <c r="M7" s="50">
        <f>Calculator!$C$9*($B$7*M6)-Budget!$L$17</f>
        <v>52688.7895151907</v>
      </c>
    </row>
    <row r="8" spans="1:13" ht="18" x14ac:dyDescent="0.2">
      <c r="B8" s="48">
        <f>0.8*Calculator!C12</f>
        <v>1600</v>
      </c>
      <c r="C8" s="49">
        <f>Calculator!$C$9*($B$8*C6)-Budget!$L$17</f>
        <v>-93561.2104848093</v>
      </c>
      <c r="D8" s="49">
        <f>Calculator!$C$9*($B$8*D6)-Budget!$L$17</f>
        <v>-75561.2104848093</v>
      </c>
      <c r="E8" s="49">
        <f>Calculator!$C$9*($B$8*E6)-Budget!$L$17</f>
        <v>-57561.2104848093</v>
      </c>
      <c r="F8" s="49">
        <f>Calculator!$C$9*($B$8*F6)-Budget!$L$17</f>
        <v>-39561.2104848093</v>
      </c>
      <c r="G8" s="49">
        <f>Calculator!$C$9*($B$8*G6)-Budget!$L$17</f>
        <v>-21561.2104848093</v>
      </c>
      <c r="H8" s="49">
        <f>Calculator!$C$9*($B$8*H6)-Budget!$L$17</f>
        <v>-3561.2104848093004</v>
      </c>
      <c r="I8" s="49">
        <f>Calculator!$C$9*($B$8*I6)-Budget!$L$17</f>
        <v>14438.7895151907</v>
      </c>
      <c r="J8" s="49">
        <f>Calculator!$C$9*($B$8*J6)-Budget!$L$17</f>
        <v>32438.7895151907</v>
      </c>
      <c r="K8" s="49">
        <f>Calculator!$C$9*($B$8*K6)-Budget!$L$17</f>
        <v>50438.7895151907</v>
      </c>
      <c r="L8" s="49">
        <f>Calculator!$C$9*($B$8*L6)-Budget!$L$17</f>
        <v>68438.7895151907</v>
      </c>
      <c r="M8" s="50">
        <f>Calculator!$C$9*($B$8*M6)-Budget!$L$17</f>
        <v>86438.7895151907</v>
      </c>
    </row>
    <row r="9" spans="1:13" ht="18" x14ac:dyDescent="0.2">
      <c r="B9" s="48">
        <f>0.9*Calculator!C12</f>
        <v>1800</v>
      </c>
      <c r="C9" s="49">
        <f>Calculator!$C$9*($B$9*C6)-Budget!$L$17</f>
        <v>-82311.2104848093</v>
      </c>
      <c r="D9" s="49">
        <f>Calculator!$C$9*($B$9*D6)-Budget!$L$17</f>
        <v>-62061.2104848093</v>
      </c>
      <c r="E9" s="49">
        <f>Calculator!$C$9*($B$9*E6)-Budget!$L$17</f>
        <v>-41811.2104848093</v>
      </c>
      <c r="F9" s="49">
        <f>Calculator!$C$9*($B$9*F6)-Budget!$L$17</f>
        <v>-21561.2104848093</v>
      </c>
      <c r="G9" s="49">
        <f>Calculator!$C$9*($B$9*G6)-Budget!$L$17</f>
        <v>-1311.2104848093004</v>
      </c>
      <c r="H9" s="49">
        <f>Calculator!$C$9*($B$9*H6)-Budget!$L$17</f>
        <v>18938.7895151907</v>
      </c>
      <c r="I9" s="49">
        <f>Calculator!$C$9*($B$9*I6)-Budget!$L$17</f>
        <v>39188.7895151907</v>
      </c>
      <c r="J9" s="49">
        <f>Calculator!$C$9*($B$9*J6)-Budget!$L$17</f>
        <v>59438.7895151907</v>
      </c>
      <c r="K9" s="49">
        <f>Calculator!$C$9*($B$9*K6)-Budget!$L$17</f>
        <v>79688.7895151907</v>
      </c>
      <c r="L9" s="49">
        <f>Calculator!$C$9*($B$9*L6)-Budget!$L$17</f>
        <v>99938.7895151907</v>
      </c>
      <c r="M9" s="50">
        <f>Calculator!$C$9*($B$9*M6)-Budget!$L$17</f>
        <v>120188.7895151907</v>
      </c>
    </row>
    <row r="10" spans="1:13" ht="18" x14ac:dyDescent="0.2">
      <c r="B10" s="48">
        <f>Calculator!C12</f>
        <v>2000</v>
      </c>
      <c r="C10" s="51">
        <f>Calculator!$C$9*($B$10*'Sensitivity analysis'!C6)-Budget!$L$17</f>
        <v>-71061.2104848093</v>
      </c>
      <c r="D10" s="51">
        <f>Calculator!$C$9*($B$10*'Sensitivity analysis'!D6)-Budget!$L$17</f>
        <v>-48561.2104848093</v>
      </c>
      <c r="E10" s="51">
        <f>Calculator!$C$9*($B$10*'Sensitivity analysis'!E6)-Budget!$L$17</f>
        <v>-26061.2104848093</v>
      </c>
      <c r="F10" s="51">
        <f>Calculator!$C$9*($B$10*'Sensitivity analysis'!F6)-Budget!$L$17</f>
        <v>-3561.2104848093004</v>
      </c>
      <c r="G10" s="51">
        <f>Calculator!$C$9*($B$10*'Sensitivity analysis'!G6)-Budget!$L$17</f>
        <v>18938.7895151907</v>
      </c>
      <c r="H10" s="52">
        <f>Calculator!$C$9*($B$10*'Sensitivity analysis'!H6)-Budget!$L$17</f>
        <v>41438.7895151907</v>
      </c>
      <c r="I10" s="51">
        <f>Calculator!$C$9*($B$10*'Sensitivity analysis'!I6)-Budget!$L$17</f>
        <v>63938.7895151907</v>
      </c>
      <c r="J10" s="51">
        <f>Calculator!$C$9*($B$10*'Sensitivity analysis'!J6)-Budget!$L$17</f>
        <v>86438.7895151907</v>
      </c>
      <c r="K10" s="51">
        <f>Calculator!$C$9*($B$10*'Sensitivity analysis'!K6)-Budget!$L$17</f>
        <v>108938.7895151907</v>
      </c>
      <c r="L10" s="51">
        <f>Calculator!$C$9*($B$10*'Sensitivity analysis'!L6)-Budget!$L$17</f>
        <v>131438.7895151907</v>
      </c>
      <c r="M10" s="53">
        <f>Calculator!$C$9*($B$10*'Sensitivity analysis'!M6)-Budget!$L$17</f>
        <v>153938.7895151907</v>
      </c>
    </row>
    <row r="11" spans="1:13" ht="18" x14ac:dyDescent="0.2">
      <c r="B11" s="48">
        <f>1.1*Calculator!C12</f>
        <v>2200</v>
      </c>
      <c r="C11" s="51">
        <f>Calculator!$C$9*($B$11*'Sensitivity analysis'!C6)-Budget!$L$17</f>
        <v>-59811.2104848093</v>
      </c>
      <c r="D11" s="51">
        <f>Calculator!$C$9*($B$11*'Sensitivity analysis'!D6)-Budget!$L$17</f>
        <v>-35061.2104848093</v>
      </c>
      <c r="E11" s="51">
        <f>Calculator!$C$9*($B$11*'Sensitivity analysis'!E6)-Budget!$L$17</f>
        <v>-10311.2104848093</v>
      </c>
      <c r="F11" s="51">
        <f>Calculator!$C$9*($B$11*'Sensitivity analysis'!F6)-Budget!$L$17</f>
        <v>14438.7895151907</v>
      </c>
      <c r="G11" s="51">
        <f>Calculator!$C$9*($B$11*'Sensitivity analysis'!G6)-Budget!$L$17</f>
        <v>39188.7895151907</v>
      </c>
      <c r="H11" s="51">
        <f>Calculator!$C$9*($B$11*'Sensitivity analysis'!H6)-Budget!$L$17</f>
        <v>63938.7895151907</v>
      </c>
      <c r="I11" s="51">
        <f>Calculator!$C$9*($B$11*'Sensitivity analysis'!I6)-Budget!$L$17</f>
        <v>88688.7895151907</v>
      </c>
      <c r="J11" s="51">
        <f>Calculator!$C$9*($B$11*'Sensitivity analysis'!J6)-Budget!$L$17</f>
        <v>113438.7895151907</v>
      </c>
      <c r="K11" s="51">
        <f>Calculator!$C$9*($B$11*'Sensitivity analysis'!K6)-Budget!$L$17</f>
        <v>138188.7895151907</v>
      </c>
      <c r="L11" s="51">
        <f>Calculator!$C$9*($B$11*'Sensitivity analysis'!L6)-Budget!$L$17</f>
        <v>162938.7895151907</v>
      </c>
      <c r="M11" s="53">
        <f>Calculator!$C$9*($B$11*'Sensitivity analysis'!M6)-Budget!$L$17</f>
        <v>187688.7895151907</v>
      </c>
    </row>
    <row r="12" spans="1:13" ht="18" x14ac:dyDescent="0.2">
      <c r="B12" s="48">
        <f>1.2*Calculator!C12</f>
        <v>2400</v>
      </c>
      <c r="C12" s="51">
        <f>Calculator!$C$9*($B$12*'Sensitivity analysis'!C6)-Budget!$L$17</f>
        <v>-48561.2104848093</v>
      </c>
      <c r="D12" s="51">
        <f>Calculator!$C$9*($B$12*'Sensitivity analysis'!D6)-Budget!$L$17</f>
        <v>-21561.2104848093</v>
      </c>
      <c r="E12" s="51">
        <f>Calculator!$C$9*($B$12*'Sensitivity analysis'!E6)-Budget!$L$17</f>
        <v>5438.7895151906996</v>
      </c>
      <c r="F12" s="51">
        <f>Calculator!$C$9*($B$12*'Sensitivity analysis'!F6)-Budget!$L$17</f>
        <v>32438.7895151907</v>
      </c>
      <c r="G12" s="51">
        <f>Calculator!$C$9*($B$12*'Sensitivity analysis'!G6)-Budget!$L$17</f>
        <v>59438.7895151907</v>
      </c>
      <c r="H12" s="51">
        <f>Calculator!$C$9*($B$12*'Sensitivity analysis'!H6)-Budget!$L$17</f>
        <v>86438.7895151907</v>
      </c>
      <c r="I12" s="51">
        <f>Calculator!$C$9*($B$12*'Sensitivity analysis'!I6)-Budget!$L$17</f>
        <v>113438.7895151907</v>
      </c>
      <c r="J12" s="51">
        <f>Calculator!$C$9*($B$12*'Sensitivity analysis'!J6)-Budget!$L$17</f>
        <v>140438.7895151907</v>
      </c>
      <c r="K12" s="51">
        <f>Calculator!$C$9*($B$12*'Sensitivity analysis'!K6)-Budget!$L$17</f>
        <v>167438.7895151907</v>
      </c>
      <c r="L12" s="51">
        <f>Calculator!$C$9*($B$12*'Sensitivity analysis'!L6)-Budget!$L$17</f>
        <v>194438.7895151907</v>
      </c>
      <c r="M12" s="53">
        <f>Calculator!$C$9*($B$12*'Sensitivity analysis'!M6)-Budget!$L$17</f>
        <v>221438.7895151907</v>
      </c>
    </row>
    <row r="13" spans="1:13" ht="19" thickBot="1" x14ac:dyDescent="0.25">
      <c r="B13" s="54">
        <f>1.3*Calculator!C12</f>
        <v>2600</v>
      </c>
      <c r="C13" s="55">
        <f>Calculator!$C$9*($B$13*'Sensitivity analysis'!C6)-Budget!$L$17</f>
        <v>-37311.2104848093</v>
      </c>
      <c r="D13" s="55">
        <f>Calculator!$C$9*($B$13*'Sensitivity analysis'!D6)-Budget!$L$17</f>
        <v>-8061.2104848093004</v>
      </c>
      <c r="E13" s="55">
        <f>Calculator!$C$9*($B$13*'Sensitivity analysis'!E6)-Budget!$L$17</f>
        <v>21188.7895151907</v>
      </c>
      <c r="F13" s="55">
        <f>Calculator!$C$9*($B$13*'Sensitivity analysis'!F6)-Budget!$L$17</f>
        <v>50438.7895151907</v>
      </c>
      <c r="G13" s="55">
        <f>Calculator!$C$9*($B$13*'Sensitivity analysis'!G6)-Budget!$L$17</f>
        <v>79688.7895151907</v>
      </c>
      <c r="H13" s="55">
        <f>Calculator!$C$9*($B$13*'Sensitivity analysis'!H6)-Budget!$L$17</f>
        <v>108938.7895151907</v>
      </c>
      <c r="I13" s="55">
        <f>Calculator!$C$9*($B$13*'Sensitivity analysis'!I6)-Budget!$L$17</f>
        <v>138188.7895151907</v>
      </c>
      <c r="J13" s="55">
        <f>Calculator!$C$9*($B$13*'Sensitivity analysis'!J6)-Budget!$L$17</f>
        <v>167438.7895151907</v>
      </c>
      <c r="K13" s="55">
        <f>Calculator!$C$9*($B$13*'Sensitivity analysis'!K6)-Budget!$L$17</f>
        <v>196688.7895151907</v>
      </c>
      <c r="L13" s="55">
        <f>Calculator!$C$9*($B$13*'Sensitivity analysis'!L6)-Budget!$L$17</f>
        <v>225938.7895151907</v>
      </c>
      <c r="M13" s="56">
        <f>Calculator!$C$9*($B$13*'Sensitivity analysis'!M6)-Budget!$L$17</f>
        <v>255188.7895151907</v>
      </c>
    </row>
    <row r="31" spans="1:5" x14ac:dyDescent="0.15">
      <c r="A31" s="32"/>
      <c r="B31" s="32"/>
      <c r="C31" s="32"/>
      <c r="D31" s="32"/>
      <c r="E31" s="32"/>
    </row>
    <row r="32" spans="1:5" x14ac:dyDescent="0.15">
      <c r="A32" s="32"/>
      <c r="B32" s="32"/>
      <c r="C32" s="32"/>
      <c r="D32" s="32"/>
      <c r="E32" s="32"/>
    </row>
    <row r="33" spans="1:5" x14ac:dyDescent="0.15">
      <c r="A33" s="32"/>
      <c r="B33" s="32"/>
      <c r="C33" s="32"/>
      <c r="D33" s="32"/>
      <c r="E33" s="32"/>
    </row>
    <row r="34" spans="1:5" x14ac:dyDescent="0.15">
      <c r="A34" s="32"/>
      <c r="B34" s="154"/>
      <c r="C34" s="32"/>
      <c r="D34" s="32"/>
      <c r="E34" s="32"/>
    </row>
    <row r="35" spans="1:5" x14ac:dyDescent="0.15">
      <c r="A35" s="32"/>
      <c r="B35" s="32"/>
      <c r="C35" s="32"/>
      <c r="D35" s="32"/>
      <c r="E35" s="155"/>
    </row>
    <row r="36" spans="1:5" ht="25" x14ac:dyDescent="0.15">
      <c r="A36" s="32"/>
      <c r="B36" s="32"/>
      <c r="C36" s="239"/>
      <c r="D36" s="240"/>
      <c r="E36" s="156"/>
    </row>
    <row r="37" spans="1:5" x14ac:dyDescent="0.15">
      <c r="A37" s="32"/>
      <c r="B37" s="32"/>
      <c r="C37" s="32"/>
      <c r="D37" s="32"/>
      <c r="E37" s="157"/>
    </row>
    <row r="38" spans="1:5" x14ac:dyDescent="0.15">
      <c r="A38" s="32"/>
      <c r="B38" s="158"/>
      <c r="C38" s="159"/>
      <c r="D38" s="32"/>
      <c r="E38" s="32"/>
    </row>
    <row r="39" spans="1:5" x14ac:dyDescent="0.15">
      <c r="A39" s="32"/>
      <c r="B39" s="158"/>
      <c r="C39" s="158"/>
      <c r="D39" s="32"/>
      <c r="E39" s="32"/>
    </row>
    <row r="40" spans="1:5" x14ac:dyDescent="0.15">
      <c r="A40" s="32"/>
      <c r="B40" s="158"/>
      <c r="C40" s="158"/>
      <c r="D40" s="32"/>
      <c r="E40" s="32"/>
    </row>
    <row r="41" spans="1:5" x14ac:dyDescent="0.15">
      <c r="A41" s="32"/>
      <c r="B41" s="158"/>
      <c r="C41" s="158"/>
      <c r="D41" s="32"/>
      <c r="E41" s="32"/>
    </row>
    <row r="42" spans="1:5" x14ac:dyDescent="0.15">
      <c r="A42" s="32"/>
      <c r="B42" s="158"/>
      <c r="C42" s="158"/>
      <c r="D42" s="32"/>
      <c r="E42" s="32"/>
    </row>
    <row r="43" spans="1:5" x14ac:dyDescent="0.15">
      <c r="A43" s="32"/>
      <c r="B43" s="158"/>
      <c r="C43" s="158"/>
      <c r="D43" s="32"/>
      <c r="E43" s="32"/>
    </row>
    <row r="44" spans="1:5" x14ac:dyDescent="0.15">
      <c r="A44" s="32"/>
      <c r="B44" s="158"/>
      <c r="C44" s="158"/>
      <c r="D44" s="32"/>
      <c r="E44" s="32"/>
    </row>
    <row r="45" spans="1:5" x14ac:dyDescent="0.15">
      <c r="A45" s="32"/>
      <c r="B45" s="158"/>
      <c r="C45" s="158"/>
      <c r="D45" s="32"/>
      <c r="E45" s="32"/>
    </row>
    <row r="46" spans="1:5" x14ac:dyDescent="0.15">
      <c r="A46" s="32"/>
      <c r="B46" s="158"/>
      <c r="C46" s="158"/>
      <c r="D46" s="32"/>
      <c r="E46" s="32"/>
    </row>
    <row r="47" spans="1:5" x14ac:dyDescent="0.15">
      <c r="A47" s="32"/>
      <c r="B47" s="158"/>
      <c r="C47" s="158"/>
      <c r="D47" s="32"/>
      <c r="E47" s="32"/>
    </row>
    <row r="48" spans="1:5" x14ac:dyDescent="0.15">
      <c r="A48" s="32"/>
      <c r="B48" s="158"/>
      <c r="C48" s="158"/>
      <c r="D48" s="32"/>
      <c r="E48" s="32"/>
    </row>
    <row r="49" spans="1:5" x14ac:dyDescent="0.15">
      <c r="A49" s="32"/>
      <c r="B49" s="158"/>
      <c r="C49" s="158"/>
      <c r="D49" s="32"/>
      <c r="E49" s="32"/>
    </row>
    <row r="50" spans="1:5" x14ac:dyDescent="0.15">
      <c r="A50" s="32"/>
      <c r="B50" s="158"/>
      <c r="C50" s="158"/>
      <c r="D50" s="32"/>
      <c r="E50" s="32"/>
    </row>
    <row r="51" spans="1:5" x14ac:dyDescent="0.15">
      <c r="A51" s="32"/>
      <c r="B51" s="158"/>
      <c r="C51" s="158"/>
      <c r="D51" s="32"/>
      <c r="E51" s="32"/>
    </row>
    <row r="52" spans="1:5" x14ac:dyDescent="0.15">
      <c r="A52" s="32"/>
      <c r="B52" s="158"/>
      <c r="C52" s="158"/>
      <c r="D52" s="32"/>
      <c r="E52" s="32"/>
    </row>
    <row r="53" spans="1:5" x14ac:dyDescent="0.15">
      <c r="A53" s="32"/>
      <c r="B53" s="158"/>
      <c r="C53" s="158"/>
      <c r="D53" s="32"/>
      <c r="E53" s="32"/>
    </row>
    <row r="54" spans="1:5" x14ac:dyDescent="0.15">
      <c r="A54" s="32"/>
      <c r="B54" s="158"/>
      <c r="C54" s="158"/>
      <c r="D54" s="32"/>
      <c r="E54" s="32"/>
    </row>
    <row r="55" spans="1:5" x14ac:dyDescent="0.15">
      <c r="A55" s="32"/>
      <c r="B55" s="158"/>
      <c r="C55" s="158"/>
      <c r="D55" s="32"/>
      <c r="E55" s="32"/>
    </row>
    <row r="56" spans="1:5" x14ac:dyDescent="0.15">
      <c r="A56" s="32"/>
      <c r="B56" s="158"/>
      <c r="C56" s="158"/>
      <c r="D56" s="32"/>
      <c r="E56" s="32"/>
    </row>
    <row r="57" spans="1:5" x14ac:dyDescent="0.15">
      <c r="A57" s="32"/>
      <c r="B57" s="158"/>
      <c r="C57" s="158"/>
      <c r="D57" s="32"/>
      <c r="E57" s="32"/>
    </row>
    <row r="58" spans="1:5" x14ac:dyDescent="0.15">
      <c r="A58" s="32"/>
      <c r="B58" s="158"/>
      <c r="C58" s="158"/>
      <c r="D58" s="32"/>
      <c r="E58" s="32"/>
    </row>
  </sheetData>
  <mergeCells count="2">
    <mergeCell ref="F4:I4"/>
    <mergeCell ref="A2:E2"/>
  </mergeCells>
  <conditionalFormatting sqref="C7:M13">
    <cfRule type="cellIs" dxfId="1" priority="1" operator="lessThan">
      <formula>0</formula>
    </cfRule>
    <cfRule type="cellIs" dxfId="0" priority="2" operator="greaterThan">
      <formula>0</formula>
    </cfRule>
  </conditionalFormatting>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Start here</vt:lpstr>
      <vt:lpstr>Menu</vt:lpstr>
      <vt:lpstr>Calculator</vt:lpstr>
      <vt:lpstr> Trellis </vt:lpstr>
      <vt:lpstr>Equipment </vt:lpstr>
      <vt:lpstr>Budget</vt:lpstr>
      <vt:lpstr>Net Present Value</vt:lpstr>
      <vt:lpstr>Sensitivity analysis</vt:lpstr>
      <vt:lpstr>CoC_Discountrate</vt:lpstr>
      <vt:lpstr>Crop_level</vt:lpstr>
      <vt:lpstr>Labor_hours</vt:lpstr>
      <vt:lpstr>row_length</vt:lpstr>
      <vt:lpstr>row_width</vt:lpstr>
      <vt:lpstr>vine_spacing</vt:lpstr>
      <vt:lpstr>Vineyard_size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Hatch, Tremain</dc:creator>
  <cp:lastModifiedBy>Microsoft Office User</cp:lastModifiedBy>
  <dcterms:created xsi:type="dcterms:W3CDTF">2013-11-14T18:29:25Z</dcterms:created>
  <dcterms:modified xsi:type="dcterms:W3CDTF">2022-09-15T13:55:54Z</dcterms:modified>
</cp:coreProperties>
</file>