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190" activeTab="0"/>
  </bookViews>
  <sheets>
    <sheet name="Menu" sheetId="1" r:id="rId1"/>
    <sheet name="Intro - Prices" sheetId="2" r:id="rId2"/>
    <sheet name="Woven Wire" sheetId="3" r:id="rId3"/>
    <sheet name="HT Fixed Knot" sheetId="4" r:id="rId4"/>
    <sheet name="HT Non-Electric" sheetId="5" r:id="rId5"/>
    <sheet name="HT Electric" sheetId="6" r:id="rId6"/>
    <sheet name="Barbed Wire" sheetId="7" r:id="rId7"/>
    <sheet name="NRCS HT Non-Electric" sheetId="8" r:id="rId8"/>
    <sheet name="NRCS HT Electric" sheetId="9" r:id="rId9"/>
  </sheets>
  <definedNames>
    <definedName name="\p" localSheetId="3">'HT Fixed Knot'!$A$101</definedName>
    <definedName name="\p">'Woven Wire'!$A$101</definedName>
    <definedName name="_Regression_Int" localSheetId="3" hidden="1">1</definedName>
    <definedName name="_Regression_Int" localSheetId="2" hidden="1">1</definedName>
    <definedName name="_xlnm.Print_Area" localSheetId="6">'Barbed Wire'!$A$1:$M$45</definedName>
    <definedName name="_xlnm.Print_Area" localSheetId="5">'HT Electric'!$A$1:$K$44</definedName>
    <definedName name="_xlnm.Print_Area" localSheetId="3">'HT Fixed Knot'!$A$1:$J$44</definedName>
    <definedName name="_xlnm.Print_Area" localSheetId="4">'HT Non-Electric'!$A$1:$K$43</definedName>
    <definedName name="_xlnm.Print_Area" localSheetId="1">'Intro - Prices'!$A$1:$G$54</definedName>
    <definedName name="_xlnm.Print_Area" localSheetId="8">'NRCS HT Electric'!$A$1:$K$45</definedName>
    <definedName name="_xlnm.Print_Area" localSheetId="7">'NRCS HT Non-Electric'!$A$1:$K$45</definedName>
    <definedName name="_xlnm.Print_Area" localSheetId="2">'Woven Wire'!$A$1:$J$44</definedName>
    <definedName name="Print_Area_MI" localSheetId="3">'HT Fixed Knot'!$A$1:$M$50</definedName>
    <definedName name="Print_Area_MI" localSheetId="2">'Woven Wire'!$A$1:$M$50</definedName>
  </definedNames>
  <calcPr fullCalcOnLoad="1"/>
</workbook>
</file>

<file path=xl/comments2.xml><?xml version="1.0" encoding="utf-8"?>
<comments xmlns="http://schemas.openxmlformats.org/spreadsheetml/2006/main">
  <authors>
    <author>Eric Eberly</author>
  </authors>
  <commentList>
    <comment ref="A15" authorId="0">
      <text>
        <r>
          <rPr>
            <b/>
            <sz val="8"/>
            <rFont val="Tahoma"/>
            <family val="2"/>
          </rPr>
          <t>Farm Cut Posts valued at 50% of treated post cost.</t>
        </r>
      </text>
    </comment>
  </commentList>
</comments>
</file>

<file path=xl/comments3.xml><?xml version="1.0" encoding="utf-8"?>
<comments xmlns="http://schemas.openxmlformats.org/spreadsheetml/2006/main">
  <authors>
    <author>Eric Eberly</author>
  </authors>
  <commentList>
    <comment ref="D43" authorId="0">
      <text>
        <r>
          <rPr>
            <sz val="8"/>
            <rFont val="Tahoma"/>
            <family val="0"/>
          </rPr>
          <t>6 minute/post for fence
1 minute/post for barbed wire</t>
        </r>
      </text>
    </comment>
    <comment ref="D44" authorId="0">
      <text>
        <r>
          <rPr>
            <sz val="8"/>
            <rFont val="Tahoma"/>
            <family val="0"/>
          </rPr>
          <t>Woven Wire = 1/2 min/ft
Barbed Wire = 1/5 min/ft</t>
        </r>
      </text>
    </comment>
  </commentList>
</comments>
</file>

<file path=xl/comments4.xml><?xml version="1.0" encoding="utf-8"?>
<comments xmlns="http://schemas.openxmlformats.org/spreadsheetml/2006/main">
  <authors>
    <author>Eric Eberly</author>
  </authors>
  <commentList>
    <comment ref="D43" authorId="0">
      <text>
        <r>
          <rPr>
            <sz val="8"/>
            <rFont val="Tahoma"/>
            <family val="0"/>
          </rPr>
          <t>6 minute/post for fence
1 minute/post for barbed wire</t>
        </r>
      </text>
    </comment>
    <comment ref="D44" authorId="0">
      <text>
        <r>
          <rPr>
            <sz val="8"/>
            <rFont val="Tahoma"/>
            <family val="0"/>
          </rPr>
          <t>Woven Wire = 1/2 min/ft
Barbed Wire = 1/5 min/ft</t>
        </r>
      </text>
    </comment>
  </commentList>
</comments>
</file>

<file path=xl/comments9.xml><?xml version="1.0" encoding="utf-8"?>
<comments xmlns="http://schemas.openxmlformats.org/spreadsheetml/2006/main">
  <authors>
    <author>Eric Eberly</author>
  </authors>
  <commentList>
    <comment ref="D3" authorId="0">
      <text>
        <r>
          <rPr>
            <b/>
            <sz val="8"/>
            <rFont val="Tahoma"/>
            <family val="2"/>
          </rPr>
          <t>Fence Layout</t>
        </r>
        <r>
          <rPr>
            <sz val="8"/>
            <rFont val="Tahoma"/>
            <family val="0"/>
          </rPr>
          <t xml:space="preserve">
|/|  End Brace Assembly
 6   Line Posts
|X| Cross Brace Assembly
 7   Line Posts
|X| Cross Brace Assembly
 6   Line Posts
|\|  End Brace Assembly
</t>
        </r>
      </text>
    </comment>
  </commentList>
</comments>
</file>

<file path=xl/sharedStrings.xml><?xml version="1.0" encoding="utf-8"?>
<sst xmlns="http://schemas.openxmlformats.org/spreadsheetml/2006/main" count="746" uniqueCount="223">
  <si>
    <t>CONV. WOVEN WIRE</t>
  </si>
  <si>
    <t xml:space="preserve">  H. T. WOVEN WIRE</t>
  </si>
  <si>
    <t>FARM CUT POSTS</t>
  </si>
  <si>
    <t>TREATED P0STS</t>
  </si>
  <si>
    <t xml:space="preserve">  TREATED P0STS</t>
  </si>
  <si>
    <t>1047-6-11 + 1</t>
  </si>
  <si>
    <t xml:space="preserve">  1047-6-12 1/2 + 1</t>
  </si>
  <si>
    <t>YOUR FENCE</t>
  </si>
  <si>
    <t>TOP BARBED WIRE</t>
  </si>
  <si>
    <t xml:space="preserve">  TOP BARBED WIRE</t>
  </si>
  <si>
    <t>COSTS</t>
  </si>
  <si>
    <t>ITEM</t>
  </si>
  <si>
    <t>UNIT</t>
  </si>
  <si>
    <t>PRICE</t>
  </si>
  <si>
    <t>TOTAL</t>
  </si>
  <si>
    <t>8 FT BRACE POSTS 6"-7"</t>
  </si>
  <si>
    <t>EACH</t>
  </si>
  <si>
    <t>7 FT LINE POSTS 4"-5"</t>
  </si>
  <si>
    <t>8 FT BRACES 4"-5"</t>
  </si>
  <si>
    <t>8 FT FARM CUT LOCUST POSTS</t>
  </si>
  <si>
    <t>ROLL</t>
  </si>
  <si>
    <t>BARBED WIRE - CONV. 12 1/2</t>
  </si>
  <si>
    <t>BARBED WIRE - H. T. 15 1/2</t>
  </si>
  <si>
    <t>FOOT</t>
  </si>
  <si>
    <t>TWIST STICKS 2 FT</t>
  </si>
  <si>
    <t>LBS.</t>
  </si>
  <si>
    <t>HOURS</t>
  </si>
  <si>
    <t>OTHER</t>
  </si>
  <si>
    <t>MATERIAL COST PER 1000 FEET</t>
  </si>
  <si>
    <t>MATERIAL COST PER FOOT</t>
  </si>
  <si>
    <t>LABOR COSTS PER 1000 FEET</t>
  </si>
  <si>
    <t>LABOR COSTS PER FOOT</t>
  </si>
  <si>
    <t>TOTAL COST  PER 1000 FEET</t>
  </si>
  <si>
    <t>TOTAL COST PER FOOT</t>
  </si>
  <si>
    <t xml:space="preserve">    4 STRAND</t>
  </si>
  <si>
    <t xml:space="preserve">    6 STRAND</t>
  </si>
  <si>
    <t xml:space="preserve">      8 STRAND</t>
  </si>
  <si>
    <t xml:space="preserve">    10 STRAND</t>
  </si>
  <si>
    <t>YOUR FENCE COSTS</t>
  </si>
  <si>
    <t>SPRINGS</t>
  </si>
  <si>
    <t>BATTEN CLIPS</t>
  </si>
  <si>
    <t>MATERIAL COSTS PER 1000 FEET</t>
  </si>
  <si>
    <t>MATERIAL COSTS PER FOOT</t>
  </si>
  <si>
    <t>TOTAL COSTS PER 1000 FEET</t>
  </si>
  <si>
    <t>TOTAL COSTS PER FOOT</t>
  </si>
  <si>
    <t xml:space="preserve">    1 STRAND</t>
  </si>
  <si>
    <t xml:space="preserve">    2 STRAND</t>
  </si>
  <si>
    <t xml:space="preserve">     3 STRAND</t>
  </si>
  <si>
    <t xml:space="preserve">   5 STRAND</t>
  </si>
  <si>
    <t>INSULATORS</t>
  </si>
  <si>
    <t>WRAP AROUND INS SLEEVE</t>
  </si>
  <si>
    <t>LBS</t>
  </si>
  <si>
    <t>/PPAGPQ</t>
  </si>
  <si>
    <t>Conventional Woven Wire Fence</t>
  </si>
  <si>
    <t>HIGH TENSILE NON-ELECTRIC</t>
  </si>
  <si>
    <t>QUANTITY</t>
  </si>
  <si>
    <t>HIGH TENSILE ELECTRIC</t>
  </si>
  <si>
    <t>BARBED WIRE</t>
  </si>
  <si>
    <t>Low</t>
  </si>
  <si>
    <t>High</t>
  </si>
  <si>
    <t>Range</t>
  </si>
  <si>
    <t>Assumptions</t>
  </si>
  <si>
    <t>1000 Feet of Fence</t>
  </si>
  <si>
    <t>Single Brace Assembly on each end</t>
  </si>
  <si>
    <t>Equivalent of 2 corners or 4 dips/rises</t>
  </si>
  <si>
    <t>8 Ft between brace posts</t>
  </si>
  <si>
    <t>25 Ft between line posts - HT</t>
  </si>
  <si>
    <t>1 batton between line posts - HT</t>
  </si>
  <si>
    <t>All brace posts driven 48" in ground</t>
  </si>
  <si>
    <t>12 Ft between line posts - non HT</t>
  </si>
  <si>
    <t>Labor Requirements</t>
  </si>
  <si>
    <t>Driving Line Posts = 6 minutes per post</t>
  </si>
  <si>
    <t>Driving Brace Posts = 8 minutes per post</t>
  </si>
  <si>
    <t>Driving Farm Cut Posts = 7 minutes per post</t>
  </si>
  <si>
    <t>Stapling Wire - 1 minute per staple</t>
  </si>
  <si>
    <t>Building Brace Assemblies - Single Span = .75 Hours</t>
  </si>
  <si>
    <t>Wire Spacing (Inches) - Ground up</t>
  </si>
  <si>
    <t>4 Wire -  6-7-10-12</t>
  </si>
  <si>
    <t>5 Wire -  6-7-8-9-10</t>
  </si>
  <si>
    <t>3 Wire -  13-11-12</t>
  </si>
  <si>
    <t>Double Brace Assembly on each end</t>
  </si>
  <si>
    <t>12 Ft between line posts</t>
  </si>
  <si>
    <t>Building Brace Assemblies - Double Span = 1.25 Hours</t>
  </si>
  <si>
    <t>Single Brace Assembly on each end - 4 strand</t>
  </si>
  <si>
    <t>50 Ft between line posts - HT</t>
  </si>
  <si>
    <t>3 battons between line posts - HT</t>
  </si>
  <si>
    <t>4 Wire = 6-7-10-12</t>
  </si>
  <si>
    <t>6 Wire = 5-5-6-7-8-9</t>
  </si>
  <si>
    <t>8 Wire = 4-5-5-5-6-6-7-8</t>
  </si>
  <si>
    <t>10 Wire = 4-4-4-4-5-5-5-5-5-5</t>
  </si>
  <si>
    <t xml:space="preserve">150 Ft between line posts </t>
  </si>
  <si>
    <t>50 Ft between battons - 3 &amp; 5 strand</t>
  </si>
  <si>
    <t>Single Brace Assembly on each end - 3 &amp; 5 strand</t>
  </si>
  <si>
    <t>Costs for Electrification</t>
  </si>
  <si>
    <t>Ground Rods and Clamps</t>
  </si>
  <si>
    <t>1 Wire = 30</t>
  </si>
  <si>
    <t>2 Wire = 20-16</t>
  </si>
  <si>
    <t>3 Wire = 13-11-12</t>
  </si>
  <si>
    <t>5 Wire = 6-7-8-9-10</t>
  </si>
  <si>
    <t>BARBED</t>
  </si>
  <si>
    <t>HIGH TENSILE</t>
  </si>
  <si>
    <t>3 STRAND</t>
  </si>
  <si>
    <t>4 STRAND</t>
  </si>
  <si>
    <t>5 STRAND</t>
  </si>
  <si>
    <t>CONV. BARBED</t>
  </si>
  <si>
    <t>Charger - Medium Duty</t>
  </si>
  <si>
    <t>Single Brace Post on each end &amp; 2 Corners - 1 &amp; 2 strand</t>
  </si>
  <si>
    <t>75 Ft between battons - 2 strand</t>
  </si>
  <si>
    <t>30 Ft between line posts - HT</t>
  </si>
  <si>
    <t>2 battons between line posts - HT</t>
  </si>
  <si>
    <t>Double Brace Assembly on each end - 6, 8, 10 strand</t>
  </si>
  <si>
    <t>2 corner or line-braced assemblies</t>
  </si>
  <si>
    <t xml:space="preserve">    2 STRAND INTERIOR</t>
  </si>
  <si>
    <t xml:space="preserve">    1 STRAND INTERIOR</t>
  </si>
  <si>
    <t xml:space="preserve">50 Ft between line posts </t>
  </si>
  <si>
    <t>Single Brace Assembly on each end - 1 &amp; 2 strand</t>
  </si>
  <si>
    <t>Double Brace Assembly on each end - 3 &amp; 5 strand</t>
  </si>
  <si>
    <t>|/| 6 |X| 7 |X| 6 |\|</t>
  </si>
  <si>
    <t>|/| 11 |X|X| 10 |X|X| 11 |\|</t>
  </si>
  <si>
    <t>|/|/| 10 |X|X| 11 |X|X| 10 |\|\|</t>
  </si>
  <si>
    <t>Post &amp; Brace Assembly Layout</t>
  </si>
  <si>
    <t>GATE</t>
  </si>
  <si>
    <t>TUBE GATE - 12'</t>
  </si>
  <si>
    <t>TUBE GATE - 14'</t>
  </si>
  <si>
    <t>TUBE GATE - 16'</t>
  </si>
  <si>
    <t>|/|/| 6 |X|X| 7 |X|X| 6 |\|\|</t>
  </si>
  <si>
    <t>Fence Construction Materials Cost</t>
  </si>
  <si>
    <t>Trade and brand names are used only for the purpose of providing information.  Virginia Cooperative Extension does not guarantee or warrant</t>
  </si>
  <si>
    <t>the standard of any product named to the exclusion of others which also may be suitable.</t>
  </si>
  <si>
    <t>WIRE HT 949-12-330 Fixed Knot</t>
  </si>
  <si>
    <t>High Tensile Fixed Knot Fence</t>
  </si>
  <si>
    <t>HT WOVEN WIRE</t>
  </si>
  <si>
    <t>949-12-330 + 1</t>
  </si>
  <si>
    <t>Average</t>
  </si>
  <si>
    <t>Your Farm</t>
  </si>
  <si>
    <t>10 FT Braces  5"-6"</t>
  </si>
  <si>
    <t>T-Posts 5 FT</t>
  </si>
  <si>
    <t>T-Posts 5.5 FT</t>
  </si>
  <si>
    <t>T-Posts 6 FT</t>
  </si>
  <si>
    <t>T-Posts 6.5 FT</t>
  </si>
  <si>
    <t>T-Posts 7 FT</t>
  </si>
  <si>
    <t>T-Posts 8 FT</t>
  </si>
  <si>
    <t>8 FT LINE POSTS 5"-6"</t>
  </si>
  <si>
    <t>INLINE STRAINERS</t>
  </si>
  <si>
    <t>CRIMP SLEEVES</t>
  </si>
  <si>
    <t>BRACE PINS - 9" - 10"</t>
  </si>
  <si>
    <t>BRACE PINS - 4" - 5"</t>
  </si>
  <si>
    <t>T-Posts 10 FT galvanized</t>
  </si>
  <si>
    <t>12 FT CORNER POSTS 5"-6"</t>
  </si>
  <si>
    <t>WIRE HT Deer Fence 8 FT</t>
  </si>
  <si>
    <t>12 FT between brace posts</t>
  </si>
  <si>
    <t>20 FT between line posts</t>
  </si>
  <si>
    <t>Equivalent of 2 corners using 8 End Posts</t>
  </si>
  <si>
    <t>Single Brace Assembly on each end and at Fence Splice</t>
  </si>
  <si>
    <t>949-12-330</t>
  </si>
  <si>
    <t>Stapling Fence and Barbed Wire = 7 (6+1) minutes per post</t>
  </si>
  <si>
    <t>Unroll and Stretch Fence and Barbed Wire = 0.7 minutes per foot</t>
  </si>
  <si>
    <t>GATE HANGING BOLTS</t>
  </si>
  <si>
    <t>FENCE ONLY</t>
  </si>
  <si>
    <t>Double Brace Assembly on each end - 6, 8, 10 strands</t>
  </si>
  <si>
    <t>Stapling Wire - 1 minute per wire</t>
  </si>
  <si>
    <t>Attaching Wire - 2 minute per insulator</t>
  </si>
  <si>
    <t>HIGH TENSILE ELECTRIC (NRCS)</t>
  </si>
  <si>
    <t xml:space="preserve"> 8 FT BRACE POSTS 6"-7"</t>
  </si>
  <si>
    <t xml:space="preserve"> 7 FT LINE POSTS 3"-4"</t>
  </si>
  <si>
    <t xml:space="preserve"> 8 FT BRACES 4"-5"</t>
  </si>
  <si>
    <t xml:space="preserve"> BRACE PINS - 10"</t>
  </si>
  <si>
    <t xml:space="preserve"> BRACE PINS - 5"</t>
  </si>
  <si>
    <t xml:space="preserve"> BRACE WIRE - H. TENSILE</t>
  </si>
  <si>
    <t xml:space="preserve"> H.TENSILE WIRE 12.5 GA.</t>
  </si>
  <si>
    <t xml:space="preserve"> FARM GATE - 14 Ft</t>
  </si>
  <si>
    <t xml:space="preserve"> GATE HANGING BOLTS</t>
  </si>
  <si>
    <t xml:space="preserve"> SPRINGS</t>
  </si>
  <si>
    <t xml:space="preserve"> INLINE STRAINERS</t>
  </si>
  <si>
    <t xml:space="preserve"> TWIST STICKS 2 FT (PTP)</t>
  </si>
  <si>
    <t xml:space="preserve"> BATTENS 40"</t>
  </si>
  <si>
    <t xml:space="preserve"> BATTEN CLIPS</t>
  </si>
  <si>
    <t xml:space="preserve"> CRIMP SLEEVES</t>
  </si>
  <si>
    <t xml:space="preserve"> STAPLES - BARBED FOR HT</t>
  </si>
  <si>
    <t xml:space="preserve"> INSULATORS</t>
  </si>
  <si>
    <t xml:space="preserve"> WRAP AROUND INS SLEEVE</t>
  </si>
  <si>
    <t xml:space="preserve">  TOTALS</t>
  </si>
  <si>
    <t xml:space="preserve"> TOTALS</t>
  </si>
  <si>
    <t>HIGH TENSILE NON-ELECTRIC (NRCS)</t>
  </si>
  <si>
    <t xml:space="preserve"> 7 FT LINE POSTS 4"-5"</t>
  </si>
  <si>
    <t xml:space="preserve"> H.TENS.WIRE 12.5 GA.</t>
  </si>
  <si>
    <t xml:space="preserve"> TWIST STICKS 2 FT</t>
  </si>
  <si>
    <t xml:space="preserve"> OTHER</t>
  </si>
  <si>
    <t xml:space="preserve"> 8 FT FARM CUT LOCUST POSTS</t>
  </si>
  <si>
    <t xml:space="preserve"> HIGH TENSILE BARBED WIRE</t>
  </si>
  <si>
    <t xml:space="preserve"> CONVENTIONAL BARBED WIRE</t>
  </si>
  <si>
    <t xml:space="preserve"> STAPLES - STANDARD</t>
  </si>
  <si>
    <t xml:space="preserve"> BARBED WIRE - H. T. 15 1/2</t>
  </si>
  <si>
    <t xml:space="preserve"> WIRE CONV. 1047-6-11 20 ROD</t>
  </si>
  <si>
    <t xml:space="preserve"> WIRE HT 1047-6-12.5  20 ROD</t>
  </si>
  <si>
    <t xml:space="preserve"> BARBED WIRE - CONV. 12.5</t>
  </si>
  <si>
    <t xml:space="preserve"> BARBED WIRE - H. T. 15.5</t>
  </si>
  <si>
    <t xml:space="preserve"> WIRE CONV. 1047-6-11 330 FT</t>
  </si>
  <si>
    <t xml:space="preserve"> WIRE HT 1047-6-12.5  330 FT</t>
  </si>
  <si>
    <t xml:space="preserve"> WIRE HT 949-12-330 Fixed Knot</t>
  </si>
  <si>
    <t>10 FT Braces 4"-5"</t>
  </si>
  <si>
    <t>12 FT Braces 4"-5"</t>
  </si>
  <si>
    <t xml:space="preserve"> 12 FT BRACES 4"-5"</t>
  </si>
  <si>
    <t>WIRE CONV. 1047-6-11 330 FT</t>
  </si>
  <si>
    <t>WIRE HT 1047-6-12.5  330 FT</t>
  </si>
  <si>
    <t>HIGH TENSILE WIRE 12.5 GA.</t>
  </si>
  <si>
    <t>BRACE WIRE - HIGH TENSILE</t>
  </si>
  <si>
    <t>Fence Budget Menu</t>
  </si>
  <si>
    <t>Fence Construction Materials Cost (base cost for all budgets)</t>
  </si>
  <si>
    <t>•</t>
  </si>
  <si>
    <t xml:space="preserve">Click on the text below to view individual fence budgets </t>
  </si>
  <si>
    <t>BATTENS 36"</t>
  </si>
  <si>
    <t>STAPLES - BARBED FOR HT (1.5 - 2")</t>
  </si>
  <si>
    <t>STAPLES - STANDARD 1.25"</t>
  </si>
  <si>
    <t>POST DRIVING (Mach&amp;Labor, Fence Professional)</t>
  </si>
  <si>
    <t>N/A</t>
  </si>
  <si>
    <t>LABOR (Fencing Professional)</t>
  </si>
  <si>
    <t>Materials1</t>
  </si>
  <si>
    <t>1. All prices include 5% Virginia Sales Tax</t>
  </si>
  <si>
    <t>Budget prices updated March, 2017 by Tom Stanley, Extension Agent, Farm Business Management</t>
  </si>
  <si>
    <t>Budgets Constructed by Eric Eberly, Extension Agent, Farm Business Management (Retired)</t>
  </si>
  <si>
    <t>ANR-275NP</t>
  </si>
  <si>
    <t>Virginia Cooperative Extension programs and employment are open to all, regardless of age, color, disability, gender, gender identity, gender expression, national origin, political affiliation, race, religion, sexual orientation, genetic information, veteran status, or any other basis protected by law. An equal opportunity/affirmative action employer. Issued in furtherance of Cooperative Extension work, Virginia Polytechnic Institute and State University, Virginia State University, and the U.S. Department of Agriculture cooperating. Edwin J. Jones, Director, Virginia Cooperative Extension, Virginia Tech, Blacksburg; M. Ray McKinnie, Administrator, 1890 Extension Program, Virginia State University, Petersburg.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</si>
</sst>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quot;#,##0.000_);\(&quot;$&quot;#,##0.000\)"/>
    <numFmt numFmtId="166" formatCode="0.0_)"/>
    <numFmt numFmtId="167" formatCode="0_)"/>
    <numFmt numFmtId="168" formatCode="&quot;$&quot;#,##0.00"/>
  </numFmts>
  <fonts count="65">
    <font>
      <sz val="10"/>
      <name val="Courier"/>
      <family val="0"/>
    </font>
    <font>
      <b/>
      <sz val="10"/>
      <name val="Arial"/>
      <family val="0"/>
    </font>
    <font>
      <i/>
      <sz val="10"/>
      <name val="Arial"/>
      <family val="0"/>
    </font>
    <font>
      <b/>
      <i/>
      <sz val="10"/>
      <name val="Arial"/>
      <family val="0"/>
    </font>
    <font>
      <sz val="10"/>
      <name val="Arial"/>
      <family val="0"/>
    </font>
    <font>
      <sz val="8"/>
      <name val="Courier"/>
      <family val="0"/>
    </font>
    <font>
      <b/>
      <u val="single"/>
      <sz val="13"/>
      <name val="Arial"/>
      <family val="2"/>
    </font>
    <font>
      <b/>
      <u val="single"/>
      <sz val="10"/>
      <name val="Arial"/>
      <family val="2"/>
    </font>
    <font>
      <u val="single"/>
      <sz val="10"/>
      <name val="Arial"/>
      <family val="2"/>
    </font>
    <font>
      <sz val="10"/>
      <color indexed="12"/>
      <name val="Arial"/>
      <family val="2"/>
    </font>
    <font>
      <b/>
      <sz val="10"/>
      <color indexed="12"/>
      <name val="Arial"/>
      <family val="2"/>
    </font>
    <font>
      <b/>
      <sz val="12"/>
      <name val="Arial"/>
      <family val="2"/>
    </font>
    <font>
      <sz val="13"/>
      <name val="Arial"/>
      <family val="2"/>
    </font>
    <font>
      <b/>
      <sz val="13"/>
      <name val="Arial"/>
      <family val="2"/>
    </font>
    <font>
      <b/>
      <sz val="11"/>
      <name val="Arial"/>
      <family val="2"/>
    </font>
    <font>
      <sz val="9"/>
      <name val="Arial"/>
      <family val="2"/>
    </font>
    <font>
      <sz val="12"/>
      <color indexed="8"/>
      <name val="Arial"/>
      <family val="0"/>
    </font>
    <font>
      <b/>
      <sz val="16"/>
      <name val="Arial Narrow"/>
      <family val="2"/>
    </font>
    <font>
      <sz val="12"/>
      <color indexed="13"/>
      <name val="Arial"/>
      <family val="0"/>
    </font>
    <font>
      <b/>
      <sz val="18"/>
      <color indexed="8"/>
      <name val="Arial"/>
      <family val="2"/>
    </font>
    <font>
      <sz val="9"/>
      <name val="Arial Narrow"/>
      <family val="2"/>
    </font>
    <font>
      <sz val="8"/>
      <name val="Tahoma"/>
      <family val="0"/>
    </font>
    <font>
      <b/>
      <sz val="8"/>
      <name val="Tahoma"/>
      <family val="2"/>
    </font>
    <font>
      <b/>
      <sz val="14"/>
      <name val="Arial Narrow"/>
      <family val="2"/>
    </font>
    <font>
      <u val="single"/>
      <sz val="10"/>
      <color indexed="12"/>
      <name val="Courier"/>
      <family val="0"/>
    </font>
    <font>
      <u val="single"/>
      <sz val="10"/>
      <color indexed="36"/>
      <name val="Courier"/>
      <family val="0"/>
    </font>
    <font>
      <u val="single"/>
      <sz val="18"/>
      <color indexed="12"/>
      <name val="Arial"/>
      <family val="2"/>
    </font>
    <font>
      <sz val="18"/>
      <name val="Arial"/>
      <family val="2"/>
    </font>
    <font>
      <b/>
      <sz val="24"/>
      <name val="Courier"/>
      <family val="0"/>
    </font>
    <font>
      <b/>
      <u val="single"/>
      <sz val="24"/>
      <name val="Arial"/>
      <family val="2"/>
    </font>
    <font>
      <sz val="18"/>
      <name val="Arial Unicode M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ourie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style="thin"/>
      <bottom>
        <color indexed="63"/>
      </bottom>
    </border>
    <border>
      <left>
        <color indexed="63"/>
      </left>
      <right style="thin"/>
      <top style="medium"/>
      <bottom>
        <color indexed="63"/>
      </bottom>
    </border>
    <border>
      <left>
        <color indexed="63"/>
      </left>
      <right>
        <color indexed="63"/>
      </right>
      <top>
        <color indexed="63"/>
      </top>
      <bottom style="thin"/>
    </border>
    <border>
      <left style="medium"/>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2" fillId="0" borderId="0" applyNumberFormat="0" applyFill="0" applyBorder="0" applyAlignment="0" applyProtection="0"/>
    <xf numFmtId="0" fontId="2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4"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4">
    <xf numFmtId="0" fontId="0" fillId="0" borderId="0" xfId="0" applyAlignment="1">
      <alignment/>
    </xf>
    <xf numFmtId="0" fontId="4" fillId="0" borderId="0" xfId="0" applyFont="1" applyAlignment="1">
      <alignment/>
    </xf>
    <xf numFmtId="0" fontId="1" fillId="0" borderId="0" xfId="0" applyFont="1" applyAlignment="1">
      <alignment/>
    </xf>
    <xf numFmtId="0" fontId="1" fillId="0" borderId="0" xfId="0" applyFont="1" applyAlignment="1" applyProtection="1">
      <alignment horizontal="left"/>
      <protection/>
    </xf>
    <xf numFmtId="0" fontId="6" fillId="0" borderId="0" xfId="0" applyFont="1" applyAlignment="1" applyProtection="1">
      <alignment horizontal="left"/>
      <protection/>
    </xf>
    <xf numFmtId="0" fontId="1" fillId="0" borderId="0" xfId="0" applyFont="1" applyAlignment="1">
      <alignment horizontal="centerContinuous"/>
    </xf>
    <xf numFmtId="0" fontId="7" fillId="0" borderId="0" xfId="0" applyFont="1" applyAlignment="1">
      <alignment horizontal="centerContinuous"/>
    </xf>
    <xf numFmtId="0" fontId="8" fillId="0" borderId="0" xfId="0" applyFont="1" applyAlignment="1" applyProtection="1">
      <alignment horizontal="left"/>
      <protection/>
    </xf>
    <xf numFmtId="0" fontId="8" fillId="0" borderId="0" xfId="0" applyFont="1" applyAlignment="1" applyProtection="1">
      <alignment horizontal="center"/>
      <protection/>
    </xf>
    <xf numFmtId="0" fontId="8" fillId="0" borderId="0" xfId="0" applyFont="1" applyAlignment="1">
      <alignment horizontal="center"/>
    </xf>
    <xf numFmtId="0" fontId="9" fillId="0" borderId="0" xfId="0" applyFont="1" applyAlignment="1" applyProtection="1">
      <alignment/>
      <protection locked="0"/>
    </xf>
    <xf numFmtId="0" fontId="4" fillId="0" borderId="10" xfId="0" applyFont="1" applyBorder="1" applyAlignment="1" applyProtection="1">
      <alignment horizontal="left"/>
      <protection/>
    </xf>
    <xf numFmtId="0" fontId="4" fillId="0" borderId="11" xfId="0" applyFont="1" applyBorder="1" applyAlignment="1" applyProtection="1">
      <alignment horizontal="left"/>
      <protection/>
    </xf>
    <xf numFmtId="7" fontId="9" fillId="0" borderId="11" xfId="0" applyNumberFormat="1" applyFont="1" applyBorder="1" applyAlignment="1" applyProtection="1">
      <alignment/>
      <protection locked="0"/>
    </xf>
    <xf numFmtId="7" fontId="4" fillId="0" borderId="11" xfId="0" applyNumberFormat="1" applyFont="1" applyBorder="1" applyAlignment="1" applyProtection="1">
      <alignment/>
      <protection/>
    </xf>
    <xf numFmtId="7" fontId="4" fillId="0" borderId="12" xfId="0" applyNumberFormat="1" applyFont="1" applyBorder="1" applyAlignment="1" applyProtection="1">
      <alignment/>
      <protection/>
    </xf>
    <xf numFmtId="164" fontId="9" fillId="0" borderId="11" xfId="0" applyNumberFormat="1" applyFont="1" applyBorder="1" applyAlignment="1" applyProtection="1">
      <alignment/>
      <protection locked="0"/>
    </xf>
    <xf numFmtId="7" fontId="4" fillId="0" borderId="13" xfId="0" applyNumberFormat="1" applyFont="1" applyBorder="1" applyAlignment="1" applyProtection="1">
      <alignment/>
      <protection/>
    </xf>
    <xf numFmtId="0" fontId="4" fillId="0" borderId="14" xfId="0" applyFont="1" applyBorder="1" applyAlignment="1" applyProtection="1">
      <alignment horizontal="left"/>
      <protection/>
    </xf>
    <xf numFmtId="0" fontId="4" fillId="0" borderId="0" xfId="0" applyFont="1" applyBorder="1" applyAlignment="1" applyProtection="1">
      <alignment horizontal="left"/>
      <protection/>
    </xf>
    <xf numFmtId="7" fontId="9" fillId="0" borderId="0" xfId="0" applyNumberFormat="1" applyFont="1" applyBorder="1" applyAlignment="1" applyProtection="1">
      <alignment/>
      <protection locked="0"/>
    </xf>
    <xf numFmtId="164" fontId="4" fillId="0" borderId="15" xfId="0" applyNumberFormat="1" applyFont="1" applyBorder="1" applyAlignment="1" applyProtection="1">
      <alignment/>
      <protection/>
    </xf>
    <xf numFmtId="7" fontId="4" fillId="0" borderId="0" xfId="0" applyNumberFormat="1" applyFont="1" applyBorder="1" applyAlignment="1" applyProtection="1">
      <alignment/>
      <protection/>
    </xf>
    <xf numFmtId="7" fontId="4" fillId="0" borderId="16" xfId="0" applyNumberFormat="1" applyFont="1" applyBorder="1" applyAlignment="1" applyProtection="1">
      <alignment/>
      <protection/>
    </xf>
    <xf numFmtId="164" fontId="9" fillId="0" borderId="0" xfId="0" applyNumberFormat="1" applyFont="1" applyBorder="1" applyAlignment="1" applyProtection="1">
      <alignment/>
      <protection locked="0"/>
    </xf>
    <xf numFmtId="7" fontId="4" fillId="0" borderId="17" xfId="0" applyNumberFormat="1" applyFont="1" applyBorder="1" applyAlignment="1" applyProtection="1">
      <alignment/>
      <protection/>
    </xf>
    <xf numFmtId="0" fontId="4" fillId="0" borderId="0" xfId="0" applyFont="1" applyBorder="1" applyAlignment="1">
      <alignment/>
    </xf>
    <xf numFmtId="165" fontId="9" fillId="0" borderId="0" xfId="0" applyNumberFormat="1" applyFont="1" applyBorder="1" applyAlignment="1" applyProtection="1">
      <alignment/>
      <protection locked="0"/>
    </xf>
    <xf numFmtId="0" fontId="4" fillId="0" borderId="14" xfId="0" applyFont="1" applyBorder="1" applyAlignment="1">
      <alignment/>
    </xf>
    <xf numFmtId="164" fontId="4" fillId="0" borderId="0" xfId="0" applyNumberFormat="1" applyFont="1" applyBorder="1" applyAlignment="1" applyProtection="1">
      <alignment/>
      <protection/>
    </xf>
    <xf numFmtId="0" fontId="1" fillId="0" borderId="0" xfId="0" applyFont="1" applyBorder="1" applyAlignment="1" applyProtection="1">
      <alignment horizontal="left"/>
      <protection/>
    </xf>
    <xf numFmtId="7" fontId="9" fillId="0" borderId="15" xfId="0" applyNumberFormat="1" applyFont="1" applyBorder="1" applyAlignment="1" applyProtection="1">
      <alignment/>
      <protection locked="0"/>
    </xf>
    <xf numFmtId="7" fontId="4" fillId="0" borderId="15" xfId="0" applyNumberFormat="1" applyFont="1" applyBorder="1" applyAlignment="1" applyProtection="1">
      <alignment/>
      <protection/>
    </xf>
    <xf numFmtId="7" fontId="10" fillId="0" borderId="15" xfId="0" applyNumberFormat="1" applyFont="1" applyBorder="1" applyAlignment="1" applyProtection="1">
      <alignment/>
      <protection locked="0"/>
    </xf>
    <xf numFmtId="7" fontId="1" fillId="0" borderId="16" xfId="0" applyNumberFormat="1" applyFont="1" applyBorder="1" applyAlignment="1" applyProtection="1">
      <alignment/>
      <protection/>
    </xf>
    <xf numFmtId="7" fontId="1" fillId="0" borderId="15" xfId="0" applyNumberFormat="1" applyFont="1" applyBorder="1" applyAlignment="1" applyProtection="1">
      <alignment/>
      <protection/>
    </xf>
    <xf numFmtId="7" fontId="1" fillId="0" borderId="17" xfId="0" applyNumberFormat="1" applyFont="1" applyBorder="1" applyAlignment="1" applyProtection="1">
      <alignment/>
      <protection/>
    </xf>
    <xf numFmtId="0" fontId="4" fillId="0" borderId="18" xfId="0" applyFont="1" applyBorder="1" applyAlignment="1">
      <alignment/>
    </xf>
    <xf numFmtId="0" fontId="1" fillId="0" borderId="19" xfId="0" applyFont="1" applyBorder="1" applyAlignment="1" applyProtection="1">
      <alignment horizontal="left"/>
      <protection/>
    </xf>
    <xf numFmtId="164" fontId="4" fillId="0" borderId="19" xfId="0" applyNumberFormat="1" applyFont="1" applyBorder="1" applyAlignment="1" applyProtection="1">
      <alignment/>
      <protection/>
    </xf>
    <xf numFmtId="7" fontId="1" fillId="0" borderId="20" xfId="0" applyNumberFormat="1" applyFont="1" applyBorder="1" applyAlignment="1" applyProtection="1">
      <alignment/>
      <protection/>
    </xf>
    <xf numFmtId="7" fontId="1" fillId="0" borderId="21" xfId="0" applyNumberFormat="1" applyFont="1" applyBorder="1" applyAlignment="1" applyProtection="1">
      <alignment/>
      <protection/>
    </xf>
    <xf numFmtId="7" fontId="4" fillId="0" borderId="19" xfId="0" applyNumberFormat="1" applyFont="1" applyBorder="1" applyAlignment="1" applyProtection="1">
      <alignment/>
      <protection/>
    </xf>
    <xf numFmtId="7" fontId="1" fillId="0" borderId="22" xfId="0" applyNumberFormat="1" applyFont="1" applyBorder="1" applyAlignment="1" applyProtection="1">
      <alignment/>
      <protection/>
    </xf>
    <xf numFmtId="0" fontId="4" fillId="0" borderId="0" xfId="0" applyFont="1" applyAlignment="1" applyProtection="1">
      <alignment horizontal="left"/>
      <protection/>
    </xf>
    <xf numFmtId="0" fontId="9" fillId="0" borderId="0" xfId="0" applyFont="1" applyAlignment="1" applyProtection="1">
      <alignment horizontal="left"/>
      <protection locked="0"/>
    </xf>
    <xf numFmtId="0" fontId="11" fillId="0" borderId="0" xfId="0" applyFont="1" applyAlignment="1">
      <alignment/>
    </xf>
    <xf numFmtId="0" fontId="12" fillId="0" borderId="0" xfId="0" applyFont="1" applyAlignment="1">
      <alignment/>
    </xf>
    <xf numFmtId="0" fontId="4" fillId="0" borderId="0" xfId="0" applyFont="1" applyAlignment="1">
      <alignment horizontal="center"/>
    </xf>
    <xf numFmtId="0" fontId="4" fillId="0" borderId="11" xfId="0" applyFont="1" applyBorder="1" applyAlignment="1">
      <alignment/>
    </xf>
    <xf numFmtId="0" fontId="4" fillId="0" borderId="17" xfId="0" applyFont="1" applyBorder="1" applyAlignment="1">
      <alignment/>
    </xf>
    <xf numFmtId="0" fontId="1" fillId="0" borderId="0" xfId="0" applyFont="1" applyFill="1" applyBorder="1" applyAlignment="1" applyProtection="1">
      <alignment horizontal="left"/>
      <protection/>
    </xf>
    <xf numFmtId="0" fontId="1" fillId="0" borderId="0" xfId="0" applyFont="1" applyBorder="1" applyAlignment="1">
      <alignment/>
    </xf>
    <xf numFmtId="7" fontId="4" fillId="0" borderId="17" xfId="0" applyNumberFormat="1" applyFont="1" applyBorder="1" applyAlignment="1">
      <alignment/>
    </xf>
    <xf numFmtId="7" fontId="1" fillId="0" borderId="0" xfId="0" applyNumberFormat="1" applyFont="1" applyBorder="1" applyAlignment="1" applyProtection="1">
      <alignment/>
      <protection/>
    </xf>
    <xf numFmtId="7" fontId="1" fillId="0" borderId="17" xfId="0" applyNumberFormat="1" applyFont="1" applyBorder="1" applyAlignment="1">
      <alignment/>
    </xf>
    <xf numFmtId="0" fontId="1" fillId="0" borderId="19" xfId="0" applyFont="1" applyBorder="1" applyAlignment="1">
      <alignment/>
    </xf>
    <xf numFmtId="7" fontId="1" fillId="0" borderId="19" xfId="0" applyNumberFormat="1" applyFont="1" applyBorder="1" applyAlignment="1" applyProtection="1">
      <alignment/>
      <protection/>
    </xf>
    <xf numFmtId="0" fontId="4" fillId="0" borderId="19" xfId="0" applyFont="1" applyBorder="1" applyAlignment="1">
      <alignment/>
    </xf>
    <xf numFmtId="7" fontId="1" fillId="0" borderId="22" xfId="0" applyNumberFormat="1" applyFont="1" applyBorder="1" applyAlignment="1">
      <alignment/>
    </xf>
    <xf numFmtId="164" fontId="4" fillId="0" borderId="0" xfId="0" applyNumberFormat="1" applyFont="1" applyAlignment="1" applyProtection="1">
      <alignment/>
      <protection/>
    </xf>
    <xf numFmtId="7" fontId="4" fillId="0" borderId="0" xfId="0" applyNumberFormat="1" applyFont="1" applyAlignment="1" applyProtection="1">
      <alignment/>
      <protection/>
    </xf>
    <xf numFmtId="0" fontId="4" fillId="0" borderId="0" xfId="0" applyFont="1" applyBorder="1" applyAlignment="1" applyProtection="1">
      <alignment horizontal="fill"/>
      <protection/>
    </xf>
    <xf numFmtId="0" fontId="4" fillId="0" borderId="0" xfId="0" applyFont="1" applyBorder="1" applyAlignment="1">
      <alignment horizontal="left"/>
    </xf>
    <xf numFmtId="0" fontId="1" fillId="0" borderId="0" xfId="0" applyFont="1" applyBorder="1" applyAlignment="1">
      <alignment horizontal="left"/>
    </xf>
    <xf numFmtId="164" fontId="9" fillId="0" borderId="0" xfId="0" applyNumberFormat="1" applyFont="1" applyBorder="1" applyAlignment="1" applyProtection="1">
      <alignment horizontal="left"/>
      <protection locked="0"/>
    </xf>
    <xf numFmtId="164" fontId="4" fillId="0" borderId="0" xfId="0" applyNumberFormat="1" applyFont="1" applyBorder="1" applyAlignment="1" applyProtection="1">
      <alignment horizontal="left"/>
      <protection/>
    </xf>
    <xf numFmtId="0" fontId="1" fillId="0" borderId="0" xfId="0" applyFont="1" applyBorder="1" applyAlignment="1" applyProtection="1">
      <alignment horizontal="centerContinuous"/>
      <protection/>
    </xf>
    <xf numFmtId="7" fontId="4" fillId="0" borderId="13" xfId="0" applyNumberFormat="1" applyFont="1" applyBorder="1" applyAlignment="1">
      <alignment/>
    </xf>
    <xf numFmtId="0" fontId="13" fillId="0" borderId="0" xfId="0" applyFont="1" applyAlignment="1" applyProtection="1">
      <alignment horizontal="left"/>
      <protection/>
    </xf>
    <xf numFmtId="0" fontId="13" fillId="0" borderId="0" xfId="0" applyFont="1" applyBorder="1" applyAlignment="1" applyProtection="1">
      <alignment horizontal="left"/>
      <protection/>
    </xf>
    <xf numFmtId="0" fontId="8" fillId="0" borderId="0" xfId="0" applyFont="1" applyBorder="1" applyAlignment="1" applyProtection="1">
      <alignment horizontal="center"/>
      <protection/>
    </xf>
    <xf numFmtId="166" fontId="4" fillId="0" borderId="0" xfId="0" applyNumberFormat="1" applyFont="1" applyBorder="1" applyAlignment="1" applyProtection="1">
      <alignment/>
      <protection/>
    </xf>
    <xf numFmtId="0" fontId="4" fillId="0" borderId="15" xfId="0" applyFont="1" applyBorder="1" applyAlignment="1">
      <alignment/>
    </xf>
    <xf numFmtId="0" fontId="4" fillId="0" borderId="16" xfId="0" applyFont="1" applyBorder="1" applyAlignment="1">
      <alignment/>
    </xf>
    <xf numFmtId="7" fontId="1" fillId="0" borderId="23" xfId="0" applyNumberFormat="1" applyFont="1" applyBorder="1" applyAlignment="1" applyProtection="1">
      <alignment/>
      <protection/>
    </xf>
    <xf numFmtId="0" fontId="9" fillId="0" borderId="0" xfId="0" applyFont="1" applyBorder="1" applyAlignment="1" applyProtection="1">
      <alignment horizontal="left"/>
      <protection locked="0"/>
    </xf>
    <xf numFmtId="5" fontId="4" fillId="0" borderId="0" xfId="0" applyNumberFormat="1" applyFont="1" applyBorder="1" applyAlignment="1" applyProtection="1">
      <alignment/>
      <protection/>
    </xf>
    <xf numFmtId="7" fontId="4" fillId="0" borderId="0" xfId="0" applyNumberFormat="1" applyFont="1" applyBorder="1" applyAlignment="1" applyProtection="1" quotePrefix="1">
      <alignment/>
      <protection/>
    </xf>
    <xf numFmtId="0" fontId="4" fillId="0" borderId="0" xfId="0" applyFont="1" applyBorder="1" applyAlignment="1">
      <alignment/>
    </xf>
    <xf numFmtId="5" fontId="14" fillId="0" borderId="0" xfId="0" applyNumberFormat="1" applyFont="1" applyBorder="1" applyAlignment="1" applyProtection="1">
      <alignment/>
      <protection/>
    </xf>
    <xf numFmtId="0" fontId="14" fillId="0" borderId="0" xfId="0" applyFont="1" applyBorder="1" applyAlignment="1">
      <alignment/>
    </xf>
    <xf numFmtId="0" fontId="4" fillId="0" borderId="0" xfId="0" applyFont="1" applyBorder="1" applyAlignment="1" quotePrefix="1">
      <alignment/>
    </xf>
    <xf numFmtId="0" fontId="2" fillId="0" borderId="0" xfId="0" applyFont="1" applyBorder="1" applyAlignment="1">
      <alignment/>
    </xf>
    <xf numFmtId="168" fontId="4" fillId="0" borderId="0" xfId="0" applyNumberFormat="1" applyFont="1" applyBorder="1" applyAlignment="1" applyProtection="1">
      <alignment horizontal="left"/>
      <protection/>
    </xf>
    <xf numFmtId="0" fontId="13" fillId="0" borderId="0" xfId="0" applyFont="1" applyBorder="1" applyAlignment="1">
      <alignment/>
    </xf>
    <xf numFmtId="7" fontId="1" fillId="0" borderId="24" xfId="0" applyNumberFormat="1" applyFont="1" applyBorder="1" applyAlignment="1" applyProtection="1">
      <alignment/>
      <protection/>
    </xf>
    <xf numFmtId="7" fontId="4" fillId="0" borderId="23" xfId="0" applyNumberFormat="1" applyFont="1" applyBorder="1" applyAlignment="1" applyProtection="1">
      <alignment/>
      <protection/>
    </xf>
    <xf numFmtId="0" fontId="1" fillId="0" borderId="0" xfId="0" applyFont="1" applyAlignment="1">
      <alignment horizontal="center"/>
    </xf>
    <xf numFmtId="0" fontId="2" fillId="0" borderId="0" xfId="0" applyFont="1" applyAlignment="1">
      <alignment horizontal="right"/>
    </xf>
    <xf numFmtId="2" fontId="16" fillId="0" borderId="0" xfId="0" applyNumberFormat="1" applyFont="1" applyFill="1" applyAlignment="1" applyProtection="1">
      <alignment/>
      <protection locked="0"/>
    </xf>
    <xf numFmtId="0" fontId="17" fillId="33" borderId="0" xfId="0" applyNumberFormat="1" applyFont="1" applyFill="1" applyBorder="1" applyAlignment="1">
      <alignment horizontal="center"/>
    </xf>
    <xf numFmtId="2" fontId="18" fillId="33" borderId="0" xfId="0" applyNumberFormat="1" applyFont="1" applyFill="1" applyBorder="1" applyAlignment="1" applyProtection="1">
      <alignment/>
      <protection locked="0"/>
    </xf>
    <xf numFmtId="7" fontId="4" fillId="0" borderId="0" xfId="0" applyNumberFormat="1" applyFont="1" applyBorder="1" applyAlignment="1" applyProtection="1">
      <alignment/>
      <protection locked="0"/>
    </xf>
    <xf numFmtId="165" fontId="4" fillId="0" borderId="0" xfId="0" applyNumberFormat="1" applyFont="1" applyBorder="1" applyAlignment="1" applyProtection="1">
      <alignment/>
      <protection/>
    </xf>
    <xf numFmtId="164" fontId="9" fillId="0" borderId="25" xfId="0" applyNumberFormat="1" applyFont="1" applyBorder="1" applyAlignment="1" applyProtection="1">
      <alignment/>
      <protection/>
    </xf>
    <xf numFmtId="164" fontId="9" fillId="0" borderId="15" xfId="0" applyNumberFormat="1" applyFont="1" applyBorder="1" applyAlignment="1" applyProtection="1">
      <alignment/>
      <protection/>
    </xf>
    <xf numFmtId="167" fontId="9" fillId="0" borderId="15" xfId="0" applyNumberFormat="1" applyFont="1" applyBorder="1" applyAlignment="1" applyProtection="1">
      <alignment/>
      <protection/>
    </xf>
    <xf numFmtId="164" fontId="9" fillId="0" borderId="20" xfId="0" applyNumberFormat="1" applyFont="1" applyBorder="1" applyAlignment="1" applyProtection="1">
      <alignment/>
      <protection/>
    </xf>
    <xf numFmtId="164" fontId="9" fillId="0" borderId="11" xfId="0" applyNumberFormat="1" applyFont="1" applyBorder="1" applyAlignment="1" applyProtection="1">
      <alignment/>
      <protection/>
    </xf>
    <xf numFmtId="164" fontId="9" fillId="0" borderId="0" xfId="0" applyNumberFormat="1" applyFont="1" applyBorder="1" applyAlignment="1" applyProtection="1">
      <alignment/>
      <protection/>
    </xf>
    <xf numFmtId="167" fontId="9" fillId="0" borderId="0" xfId="0" applyNumberFormat="1" applyFont="1" applyBorder="1" applyAlignment="1" applyProtection="1">
      <alignment/>
      <protection/>
    </xf>
    <xf numFmtId="164" fontId="9" fillId="0" borderId="26" xfId="0" applyNumberFormat="1" applyFont="1" applyBorder="1" applyAlignment="1" applyProtection="1">
      <alignment/>
      <protection/>
    </xf>
    <xf numFmtId="7" fontId="4" fillId="0" borderId="27" xfId="0" applyNumberFormat="1" applyFont="1" applyBorder="1" applyAlignment="1" applyProtection="1">
      <alignment/>
      <protection/>
    </xf>
    <xf numFmtId="0" fontId="4" fillId="0" borderId="28" xfId="0" applyFont="1" applyBorder="1" applyAlignment="1" applyProtection="1">
      <alignment horizontal="left"/>
      <protection/>
    </xf>
    <xf numFmtId="17" fontId="4" fillId="0" borderId="14" xfId="0" applyNumberFormat="1" applyFont="1" applyBorder="1" applyAlignment="1">
      <alignment/>
    </xf>
    <xf numFmtId="0" fontId="1" fillId="0" borderId="14" xfId="0" applyFont="1" applyBorder="1" applyAlignment="1">
      <alignment/>
    </xf>
    <xf numFmtId="0" fontId="4" fillId="0" borderId="29" xfId="0" applyFont="1" applyBorder="1" applyAlignment="1" applyProtection="1">
      <alignment horizontal="left"/>
      <protection/>
    </xf>
    <xf numFmtId="7" fontId="4" fillId="0" borderId="28" xfId="0" applyNumberFormat="1" applyFont="1" applyBorder="1" applyAlignment="1" applyProtection="1">
      <alignment/>
      <protection/>
    </xf>
    <xf numFmtId="7" fontId="4" fillId="0" borderId="21" xfId="0" applyNumberFormat="1" applyFont="1" applyBorder="1" applyAlignment="1" applyProtection="1">
      <alignment/>
      <protection/>
    </xf>
    <xf numFmtId="0" fontId="4" fillId="0" borderId="28" xfId="0" applyFont="1" applyBorder="1" applyAlignment="1">
      <alignment/>
    </xf>
    <xf numFmtId="7" fontId="4" fillId="0" borderId="28" xfId="0" applyNumberFormat="1" applyFont="1" applyBorder="1" applyAlignment="1" applyProtection="1">
      <alignment/>
      <protection locked="0"/>
    </xf>
    <xf numFmtId="164" fontId="9" fillId="0" borderId="28" xfId="0" applyNumberFormat="1" applyFont="1" applyBorder="1" applyAlignment="1" applyProtection="1">
      <alignment/>
      <protection/>
    </xf>
    <xf numFmtId="7" fontId="9" fillId="0" borderId="28" xfId="0" applyNumberFormat="1" applyFont="1" applyBorder="1" applyAlignment="1" applyProtection="1">
      <alignment/>
      <protection locked="0"/>
    </xf>
    <xf numFmtId="49" fontId="4" fillId="0" borderId="10" xfId="0" applyNumberFormat="1" applyFont="1" applyBorder="1" applyAlignment="1" applyProtection="1">
      <alignment horizontal="left"/>
      <protection/>
    </xf>
    <xf numFmtId="49" fontId="4" fillId="0" borderId="14" xfId="0" applyNumberFormat="1" applyFont="1" applyBorder="1" applyAlignment="1" applyProtection="1">
      <alignment horizontal="left"/>
      <protection/>
    </xf>
    <xf numFmtId="49" fontId="4" fillId="0" borderId="29" xfId="0" applyNumberFormat="1" applyFont="1" applyBorder="1" applyAlignment="1" applyProtection="1">
      <alignment horizontal="left"/>
      <protection/>
    </xf>
    <xf numFmtId="164" fontId="4" fillId="0" borderId="16" xfId="0" applyNumberFormat="1" applyFont="1" applyBorder="1" applyAlignment="1" applyProtection="1">
      <alignment/>
      <protection/>
    </xf>
    <xf numFmtId="49" fontId="9" fillId="0" borderId="29" xfId="0" applyNumberFormat="1" applyFont="1" applyBorder="1" applyAlignment="1" applyProtection="1">
      <alignment horizontal="left"/>
      <protection/>
    </xf>
    <xf numFmtId="49" fontId="4" fillId="0" borderId="0" xfId="0" applyNumberFormat="1" applyFont="1" applyBorder="1" applyAlignment="1" applyProtection="1">
      <alignment horizontal="left"/>
      <protection/>
    </xf>
    <xf numFmtId="0" fontId="23" fillId="33" borderId="0" xfId="0" applyNumberFormat="1" applyFont="1" applyFill="1" applyBorder="1" applyAlignment="1">
      <alignment horizontal="center"/>
    </xf>
    <xf numFmtId="7" fontId="4" fillId="0" borderId="0" xfId="0" applyNumberFormat="1" applyFont="1" applyBorder="1" applyAlignment="1" applyProtection="1">
      <alignment/>
      <protection hidden="1"/>
    </xf>
    <xf numFmtId="7" fontId="4" fillId="0" borderId="0" xfId="0" applyNumberFormat="1" applyFont="1" applyAlignment="1" applyProtection="1">
      <alignment/>
      <protection hidden="1"/>
    </xf>
    <xf numFmtId="7" fontId="9" fillId="0" borderId="0" xfId="0" applyNumberFormat="1" applyFont="1" applyBorder="1" applyAlignment="1" applyProtection="1">
      <alignment/>
      <protection hidden="1"/>
    </xf>
    <xf numFmtId="0" fontId="26" fillId="0" borderId="0" xfId="53" applyFont="1" applyAlignment="1" applyProtection="1">
      <alignment/>
      <protection/>
    </xf>
    <xf numFmtId="0" fontId="26" fillId="0" borderId="0" xfId="53" applyFont="1" applyAlignment="1" applyProtection="1">
      <alignment horizontal="left"/>
      <protection/>
    </xf>
    <xf numFmtId="0" fontId="26" fillId="0" borderId="0" xfId="53" applyFont="1" applyBorder="1" applyAlignment="1" applyProtection="1">
      <alignment/>
      <protection/>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horizontal="center"/>
    </xf>
    <xf numFmtId="0" fontId="15" fillId="0" borderId="0" xfId="0" applyFont="1" applyBorder="1" applyAlignment="1" applyProtection="1">
      <alignment horizontal="left"/>
      <protection/>
    </xf>
    <xf numFmtId="0" fontId="15" fillId="0" borderId="14" xfId="0" applyFont="1" applyBorder="1" applyAlignment="1" applyProtection="1">
      <alignment horizontal="left"/>
      <protection/>
    </xf>
    <xf numFmtId="0" fontId="4" fillId="0" borderId="0" xfId="0" applyFont="1" applyAlignment="1" applyProtection="1">
      <alignment/>
      <protection/>
    </xf>
    <xf numFmtId="0" fontId="4" fillId="0" borderId="0" xfId="0" applyFont="1" applyAlignment="1">
      <alignment/>
    </xf>
    <xf numFmtId="168" fontId="19" fillId="0" borderId="0" xfId="0" applyNumberFormat="1" applyFont="1" applyFill="1" applyAlignment="1" applyProtection="1">
      <alignment horizontal="center"/>
      <protection locked="0"/>
    </xf>
    <xf numFmtId="2" fontId="19" fillId="0" borderId="0" xfId="0" applyNumberFormat="1" applyFont="1" applyFill="1" applyAlignment="1" applyProtection="1">
      <alignment horizontal="center"/>
      <protection locked="0"/>
    </xf>
    <xf numFmtId="0" fontId="19" fillId="0" borderId="0" xfId="0" applyFont="1" applyFill="1" applyAlignment="1" applyProtection="1">
      <alignment horizontal="center"/>
      <protection locked="0"/>
    </xf>
    <xf numFmtId="0" fontId="4" fillId="0" borderId="0" xfId="0" applyFont="1" applyAlignment="1">
      <alignment/>
    </xf>
    <xf numFmtId="0" fontId="4" fillId="0" borderId="0" xfId="0" applyFont="1" applyAlignment="1">
      <alignment horizontal="center"/>
    </xf>
    <xf numFmtId="0" fontId="20" fillId="0" borderId="11" xfId="0" applyFont="1" applyBorder="1" applyAlignment="1">
      <alignment horizontal="center"/>
    </xf>
    <xf numFmtId="0" fontId="20" fillId="0" borderId="0" xfId="0" applyFont="1" applyAlignment="1">
      <alignment horizontal="center"/>
    </xf>
    <xf numFmtId="0" fontId="1" fillId="0" borderId="0" xfId="0" applyFont="1" applyAlignment="1" applyProtection="1">
      <alignment horizontal="center"/>
      <protection/>
    </xf>
    <xf numFmtId="0" fontId="0" fillId="0" borderId="0" xfId="0" applyAlignment="1">
      <alignment horizontal="center"/>
    </xf>
    <xf numFmtId="0" fontId="1" fillId="0" borderId="0" xfId="0" applyFont="1" applyAlignment="1" applyProtection="1" quotePrefix="1">
      <alignment horizontal="center"/>
      <protection/>
    </xf>
    <xf numFmtId="0" fontId="1" fillId="0" borderId="0" xfId="0" applyFont="1" applyAlignment="1">
      <alignment horizontal="center"/>
    </xf>
    <xf numFmtId="0" fontId="7" fillId="0" borderId="0" xfId="0" applyFont="1" applyAlignment="1">
      <alignment horizontal="center"/>
    </xf>
    <xf numFmtId="0" fontId="1" fillId="0" borderId="0" xfId="0" applyFont="1" applyBorder="1" applyAlignment="1" applyProtection="1">
      <alignment horizontal="left"/>
      <protection/>
    </xf>
    <xf numFmtId="0" fontId="1" fillId="0" borderId="0" xfId="0" applyFont="1" applyBorder="1" applyAlignment="1" applyProtection="1">
      <alignment horizontal="center"/>
      <protection/>
    </xf>
    <xf numFmtId="0" fontId="0" fillId="0" borderId="0" xfId="0" applyAlignment="1">
      <alignment/>
    </xf>
    <xf numFmtId="0" fontId="15" fillId="0" borderId="19" xfId="0" applyFont="1" applyBorder="1" applyAlignment="1">
      <alignment horizontal="center"/>
    </xf>
    <xf numFmtId="0" fontId="15" fillId="0" borderId="0" xfId="0" applyFont="1" applyBorder="1" applyAlignment="1">
      <alignment horizontal="center"/>
    </xf>
    <xf numFmtId="0" fontId="4" fillId="0" borderId="0" xfId="0" applyFont="1" applyBorder="1" applyAlignment="1">
      <alignment horizontal="center"/>
    </xf>
    <xf numFmtId="0" fontId="4" fillId="0" borderId="0" xfId="0" applyFont="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6</xdr:col>
      <xdr:colOff>504825</xdr:colOff>
      <xdr:row>5</xdr:row>
      <xdr:rowOff>19050</xdr:rowOff>
    </xdr:to>
    <xdr:pic>
      <xdr:nvPicPr>
        <xdr:cNvPr id="1" name="Picture 1"/>
        <xdr:cNvPicPr preferRelativeResize="1">
          <a:picLocks noChangeAspect="1"/>
        </xdr:cNvPicPr>
      </xdr:nvPicPr>
      <xdr:blipFill>
        <a:blip r:embed="rId1"/>
        <a:stretch>
          <a:fillRect/>
        </a:stretch>
      </xdr:blipFill>
      <xdr:spPr>
        <a:xfrm>
          <a:off x="419100" y="0"/>
          <a:ext cx="759142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1</xdr:col>
      <xdr:colOff>619125</xdr:colOff>
      <xdr:row>0</xdr:row>
      <xdr:rowOff>847725</xdr:rowOff>
    </xdr:to>
    <xdr:pic>
      <xdr:nvPicPr>
        <xdr:cNvPr id="1" name="Picture 17"/>
        <xdr:cNvPicPr preferRelativeResize="1">
          <a:picLocks noChangeAspect="1"/>
        </xdr:cNvPicPr>
      </xdr:nvPicPr>
      <xdr:blipFill>
        <a:blip r:embed="rId1"/>
        <a:stretch>
          <a:fillRect/>
        </a:stretch>
      </xdr:blipFill>
      <xdr:spPr>
        <a:xfrm>
          <a:off x="76200" y="57150"/>
          <a:ext cx="15335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7:F28"/>
  <sheetViews>
    <sheetView tabSelected="1" zoomScalePageLayoutView="0" workbookViewId="0" topLeftCell="A13">
      <selection activeCell="B22" sqref="B22:F28"/>
    </sheetView>
  </sheetViews>
  <sheetFormatPr defaultColWidth="8.875" defaultRowHeight="12.75"/>
  <cols>
    <col min="1" max="1" width="5.50390625" style="0" customWidth="1"/>
    <col min="2" max="2" width="57.50390625" style="0" bestFit="1" customWidth="1"/>
  </cols>
  <sheetData>
    <row r="7" ht="12.75">
      <c r="E7" s="134" t="s">
        <v>221</v>
      </c>
    </row>
    <row r="8" spans="1:2" ht="30">
      <c r="A8" s="129" t="s">
        <v>207</v>
      </c>
      <c r="B8" s="128"/>
    </row>
    <row r="9" ht="30.75" customHeight="1">
      <c r="A9" s="127" t="s">
        <v>210</v>
      </c>
    </row>
    <row r="10" spans="1:2" ht="23.25">
      <c r="A10" s="130" t="s">
        <v>209</v>
      </c>
      <c r="B10" s="124" t="s">
        <v>208</v>
      </c>
    </row>
    <row r="11" spans="1:2" ht="23.25">
      <c r="A11" s="130" t="s">
        <v>209</v>
      </c>
      <c r="B11" s="124" t="s">
        <v>53</v>
      </c>
    </row>
    <row r="12" spans="1:2" ht="23.25">
      <c r="A12" s="130" t="s">
        <v>209</v>
      </c>
      <c r="B12" s="124" t="s">
        <v>130</v>
      </c>
    </row>
    <row r="13" spans="1:2" ht="23.25">
      <c r="A13" s="130" t="s">
        <v>209</v>
      </c>
      <c r="B13" s="124" t="s">
        <v>54</v>
      </c>
    </row>
    <row r="14" spans="1:2" ht="23.25">
      <c r="A14" s="130" t="s">
        <v>209</v>
      </c>
      <c r="B14" s="125" t="s">
        <v>56</v>
      </c>
    </row>
    <row r="15" spans="1:2" ht="23.25">
      <c r="A15" s="130" t="s">
        <v>209</v>
      </c>
      <c r="B15" s="126" t="s">
        <v>57</v>
      </c>
    </row>
    <row r="16" spans="1:2" ht="23.25">
      <c r="A16" s="130" t="s">
        <v>209</v>
      </c>
      <c r="B16" s="124" t="s">
        <v>183</v>
      </c>
    </row>
    <row r="17" spans="1:2" ht="23.25">
      <c r="A17" s="130" t="s">
        <v>209</v>
      </c>
      <c r="B17" s="125" t="s">
        <v>162</v>
      </c>
    </row>
    <row r="18" ht="23.25">
      <c r="B18" s="127"/>
    </row>
    <row r="19" ht="12.75">
      <c r="B19" s="133" t="s">
        <v>220</v>
      </c>
    </row>
    <row r="20" ht="12.75">
      <c r="B20" s="133" t="s">
        <v>219</v>
      </c>
    </row>
    <row r="22" spans="2:6" ht="12">
      <c r="B22" s="153" t="s">
        <v>222</v>
      </c>
      <c r="C22" s="153"/>
      <c r="D22" s="153"/>
      <c r="E22" s="153"/>
      <c r="F22" s="153"/>
    </row>
    <row r="23" spans="2:6" ht="12">
      <c r="B23" s="153"/>
      <c r="C23" s="153"/>
      <c r="D23" s="153"/>
      <c r="E23" s="153"/>
      <c r="F23" s="153"/>
    </row>
    <row r="24" spans="2:6" ht="12">
      <c r="B24" s="153"/>
      <c r="C24" s="153"/>
      <c r="D24" s="153"/>
      <c r="E24" s="153"/>
      <c r="F24" s="153"/>
    </row>
    <row r="25" spans="2:6" ht="12">
      <c r="B25" s="153"/>
      <c r="C25" s="153"/>
      <c r="D25" s="153"/>
      <c r="E25" s="153"/>
      <c r="F25" s="153"/>
    </row>
    <row r="26" spans="2:6" ht="12">
      <c r="B26" s="153"/>
      <c r="C26" s="153"/>
      <c r="D26" s="153"/>
      <c r="E26" s="153"/>
      <c r="F26" s="153"/>
    </row>
    <row r="27" spans="2:6" ht="12">
      <c r="B27" s="153"/>
      <c r="C27" s="153"/>
      <c r="D27" s="153"/>
      <c r="E27" s="153"/>
      <c r="F27" s="153"/>
    </row>
    <row r="28" spans="2:6" ht="12">
      <c r="B28" s="153"/>
      <c r="C28" s="153"/>
      <c r="D28" s="153"/>
      <c r="E28" s="153"/>
      <c r="F28" s="153"/>
    </row>
  </sheetData>
  <sheetProtection password="DD65" sheet="1"/>
  <mergeCells count="1">
    <mergeCell ref="B22:F28"/>
  </mergeCells>
  <hyperlinks>
    <hyperlink ref="B10" location="'Intro - Prices'!A1" display="Fence Construction Materials Cost"/>
    <hyperlink ref="B11" location="'Woven Wire'!A1" display="Conventional Woven Wire Fence"/>
    <hyperlink ref="B12" location="'HT Fixed Knot'!A1" display="High Tensile Fixed Knot Fence"/>
    <hyperlink ref="B13" location="'HT Non-Electric'!A1" display="HIGH TENSILE NON-ELECTRIC"/>
    <hyperlink ref="B14" location="'HT Electric'!A1" display="HIGH TENSILE ELECTRIC"/>
    <hyperlink ref="B15" location="'Barbed Wire'!A1" display="BARBED WIRE"/>
    <hyperlink ref="B16" location="'NRCS HT Non-Electric'!A1" display="HIGH TENSILE NON-ELECTRIC (NRCS)"/>
    <hyperlink ref="B17" location="'NRCS HT Electric'!A1" display="HIGH TENSILE ELECTRIC (NRCS)"/>
  </hyperlink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G55"/>
  <sheetViews>
    <sheetView zoomScalePageLayoutView="0" workbookViewId="0" topLeftCell="A2">
      <pane xSplit="3" ySplit="5" topLeftCell="D7" activePane="bottomRight" state="frozen"/>
      <selection pane="topLeft" activeCell="A2" sqref="A2"/>
      <selection pane="topRight" activeCell="D2" sqref="D2"/>
      <selection pane="bottomLeft" activeCell="A7" sqref="A7"/>
      <selection pane="bottomRight" activeCell="E41" sqref="E41"/>
    </sheetView>
  </sheetViews>
  <sheetFormatPr defaultColWidth="11.00390625" defaultRowHeight="12.75"/>
  <cols>
    <col min="1" max="1" width="13.00390625" style="1" customWidth="1"/>
    <col min="2" max="2" width="23.50390625" style="1" customWidth="1"/>
    <col min="3" max="3" width="11.00390625" style="1" customWidth="1"/>
    <col min="4" max="7" width="9.625" style="1" customWidth="1"/>
    <col min="8" max="16384" width="11.00390625" style="1" customWidth="1"/>
  </cols>
  <sheetData>
    <row r="1" s="90" customFormat="1" ht="75.75" customHeight="1"/>
    <row r="2" spans="1:7" s="90" customFormat="1" ht="19.5" customHeight="1">
      <c r="A2" s="120">
        <v>2017</v>
      </c>
      <c r="B2" s="91"/>
      <c r="C2" s="92"/>
      <c r="D2" s="92"/>
      <c r="E2" s="92"/>
      <c r="F2" s="92"/>
      <c r="G2" s="92"/>
    </row>
    <row r="3" spans="1:7" s="90" customFormat="1" ht="27" customHeight="1">
      <c r="A3" s="135" t="s">
        <v>126</v>
      </c>
      <c r="B3" s="135"/>
      <c r="C3" s="136"/>
      <c r="D3" s="136"/>
      <c r="E3" s="136"/>
      <c r="F3" s="137"/>
      <c r="G3" s="137"/>
    </row>
    <row r="4" spans="1:2" ht="15.75">
      <c r="A4" s="46"/>
      <c r="B4" s="46"/>
    </row>
    <row r="5" spans="1:7" ht="12.75" customHeight="1">
      <c r="A5" s="1" t="s">
        <v>217</v>
      </c>
      <c r="F5" s="139" t="s">
        <v>60</v>
      </c>
      <c r="G5" s="139"/>
    </row>
    <row r="6" spans="4:7" ht="12.75">
      <c r="D6" s="1" t="s">
        <v>134</v>
      </c>
      <c r="E6" s="48" t="s">
        <v>133</v>
      </c>
      <c r="F6" s="48" t="s">
        <v>58</v>
      </c>
      <c r="G6" s="48" t="s">
        <v>59</v>
      </c>
    </row>
    <row r="7" spans="1:7" ht="15" customHeight="1">
      <c r="A7" s="19" t="s">
        <v>15</v>
      </c>
      <c r="B7" s="19"/>
      <c r="C7" s="19" t="s">
        <v>16</v>
      </c>
      <c r="D7" s="104"/>
      <c r="E7" s="121">
        <v>13.549500000000002</v>
      </c>
      <c r="F7" s="122">
        <v>11.707500000000001</v>
      </c>
      <c r="G7" s="122">
        <v>15.75</v>
      </c>
    </row>
    <row r="8" spans="1:7" ht="12.75">
      <c r="A8" s="19" t="s">
        <v>142</v>
      </c>
      <c r="B8" s="19"/>
      <c r="C8" s="19" t="s">
        <v>16</v>
      </c>
      <c r="D8" s="104"/>
      <c r="E8" s="121">
        <v>11.512499999999998</v>
      </c>
      <c r="F8" s="122">
        <v>9.345</v>
      </c>
      <c r="G8" s="122">
        <v>13.429499999999999</v>
      </c>
    </row>
    <row r="9" spans="1:7" ht="12.75">
      <c r="A9" s="19" t="s">
        <v>17</v>
      </c>
      <c r="B9" s="19"/>
      <c r="C9" s="19" t="s">
        <v>16</v>
      </c>
      <c r="D9" s="104"/>
      <c r="E9" s="121">
        <v>8.358</v>
      </c>
      <c r="F9" s="122">
        <v>6.5625</v>
      </c>
      <c r="G9" s="122">
        <v>9.975</v>
      </c>
    </row>
    <row r="10" spans="1:7" ht="12.75">
      <c r="A10" s="19" t="s">
        <v>148</v>
      </c>
      <c r="B10" s="19"/>
      <c r="C10" s="19" t="s">
        <v>16</v>
      </c>
      <c r="D10" s="104"/>
      <c r="E10" s="121">
        <v>21.911750000000005</v>
      </c>
      <c r="F10" s="122">
        <v>18.348750000000003</v>
      </c>
      <c r="G10" s="122">
        <v>24.444000000000003</v>
      </c>
    </row>
    <row r="11" spans="1:7" ht="12.75">
      <c r="A11" s="19" t="s">
        <v>201</v>
      </c>
      <c r="B11" s="19"/>
      <c r="C11" s="19" t="s">
        <v>16</v>
      </c>
      <c r="D11" s="104"/>
      <c r="E11" s="121">
        <v>13.740562500000001</v>
      </c>
      <c r="F11" s="122">
        <v>12.140625</v>
      </c>
      <c r="G11" s="122">
        <v>15.3405</v>
      </c>
    </row>
    <row r="12" spans="1:7" ht="12.75">
      <c r="A12" s="19" t="s">
        <v>200</v>
      </c>
      <c r="B12" s="19"/>
      <c r="C12" s="19" t="s">
        <v>16</v>
      </c>
      <c r="D12" s="104"/>
      <c r="E12" s="121">
        <v>13.4505</v>
      </c>
      <c r="F12" s="122">
        <v>9.7125</v>
      </c>
      <c r="G12" s="122">
        <v>15.3405</v>
      </c>
    </row>
    <row r="13" spans="1:7" ht="12.75">
      <c r="A13" s="19" t="s">
        <v>135</v>
      </c>
      <c r="B13" s="19"/>
      <c r="C13" s="19" t="s">
        <v>16</v>
      </c>
      <c r="D13" s="104"/>
      <c r="E13" s="121">
        <v>18.0348</v>
      </c>
      <c r="F13" s="122">
        <v>15.4875</v>
      </c>
      <c r="G13" s="122">
        <v>20.286</v>
      </c>
    </row>
    <row r="14" spans="1:7" ht="12.75">
      <c r="A14" s="19" t="s">
        <v>18</v>
      </c>
      <c r="B14" s="19"/>
      <c r="C14" s="19" t="s">
        <v>16</v>
      </c>
      <c r="D14" s="104"/>
      <c r="E14" s="121">
        <v>8.83225</v>
      </c>
      <c r="F14" s="122">
        <v>6.93</v>
      </c>
      <c r="G14" s="122">
        <v>10.0695</v>
      </c>
    </row>
    <row r="15" spans="1:7" ht="12.75">
      <c r="A15" s="19" t="s">
        <v>19</v>
      </c>
      <c r="B15" s="19"/>
      <c r="C15" s="19" t="s">
        <v>16</v>
      </c>
      <c r="D15" s="104"/>
      <c r="E15" s="121">
        <v>8.4</v>
      </c>
      <c r="F15" s="122">
        <v>5.25</v>
      </c>
      <c r="G15" s="122">
        <v>11.55</v>
      </c>
    </row>
    <row r="16" spans="1:7" ht="12.75">
      <c r="A16" s="119" t="s">
        <v>203</v>
      </c>
      <c r="B16" s="19"/>
      <c r="C16" s="19" t="s">
        <v>20</v>
      </c>
      <c r="D16" s="104"/>
      <c r="E16" s="121">
        <v>205.34850000000003</v>
      </c>
      <c r="F16" s="122">
        <v>178.48950000000002</v>
      </c>
      <c r="G16" s="122">
        <v>238.69650000000001</v>
      </c>
    </row>
    <row r="17" spans="1:7" ht="12.75">
      <c r="A17" s="119" t="s">
        <v>204</v>
      </c>
      <c r="B17" s="19"/>
      <c r="C17" s="19" t="s">
        <v>20</v>
      </c>
      <c r="D17" s="104"/>
      <c r="E17" s="121">
        <v>174.3</v>
      </c>
      <c r="F17" s="122">
        <v>156.45000000000002</v>
      </c>
      <c r="G17" s="122">
        <v>187.95000000000002</v>
      </c>
    </row>
    <row r="18" spans="1:7" ht="12.75">
      <c r="A18" s="119" t="s">
        <v>129</v>
      </c>
      <c r="B18" s="19"/>
      <c r="C18" s="19" t="s">
        <v>20</v>
      </c>
      <c r="D18" s="104"/>
      <c r="E18" s="121">
        <v>152.2465</v>
      </c>
      <c r="F18" s="122">
        <v>141.73950000000002</v>
      </c>
      <c r="G18" s="122">
        <v>166.95000000000002</v>
      </c>
    </row>
    <row r="19" spans="1:7" ht="12.75">
      <c r="A19" s="19" t="s">
        <v>149</v>
      </c>
      <c r="B19" s="19"/>
      <c r="C19" s="19" t="s">
        <v>20</v>
      </c>
      <c r="D19" s="104"/>
      <c r="E19" s="121">
        <v>440.86769999999996</v>
      </c>
      <c r="F19" s="122">
        <v>355.95</v>
      </c>
      <c r="G19" s="122">
        <v>540.0885000000001</v>
      </c>
    </row>
    <row r="20" spans="1:7" ht="12.75">
      <c r="A20" s="19" t="s">
        <v>21</v>
      </c>
      <c r="B20" s="19"/>
      <c r="C20" s="19" t="s">
        <v>20</v>
      </c>
      <c r="D20" s="104"/>
      <c r="E20" s="121">
        <v>71.5995</v>
      </c>
      <c r="F20" s="122">
        <v>64.6695</v>
      </c>
      <c r="G20" s="122">
        <v>73.48949999999999</v>
      </c>
    </row>
    <row r="21" spans="1:7" ht="12.75">
      <c r="A21" s="19" t="s">
        <v>22</v>
      </c>
      <c r="B21" s="19"/>
      <c r="C21" s="19" t="s">
        <v>20</v>
      </c>
      <c r="D21" s="104"/>
      <c r="E21" s="121">
        <v>44.919000000000004</v>
      </c>
      <c r="F21" s="122">
        <v>38.8395</v>
      </c>
      <c r="G21" s="122">
        <v>59.5665</v>
      </c>
    </row>
    <row r="22" spans="1:7" ht="12.75">
      <c r="A22" s="19" t="s">
        <v>122</v>
      </c>
      <c r="B22" s="19"/>
      <c r="C22" s="19" t="s">
        <v>121</v>
      </c>
      <c r="D22" s="104"/>
      <c r="E22" s="121">
        <v>116.184</v>
      </c>
      <c r="F22" s="122">
        <v>78.75</v>
      </c>
      <c r="G22" s="122">
        <v>151.788</v>
      </c>
    </row>
    <row r="23" spans="1:7" ht="12.75">
      <c r="A23" s="19" t="s">
        <v>123</v>
      </c>
      <c r="B23" s="19"/>
      <c r="C23" s="19" t="s">
        <v>121</v>
      </c>
      <c r="D23" s="104"/>
      <c r="E23" s="121">
        <v>139.341</v>
      </c>
      <c r="F23" s="122">
        <v>110.25</v>
      </c>
      <c r="G23" s="122">
        <v>179.487</v>
      </c>
    </row>
    <row r="24" spans="1:7" ht="12.75">
      <c r="A24" s="19" t="s">
        <v>124</v>
      </c>
      <c r="B24" s="19"/>
      <c r="C24" s="19" t="s">
        <v>121</v>
      </c>
      <c r="D24" s="104"/>
      <c r="E24" s="121">
        <v>172.57350000000002</v>
      </c>
      <c r="F24" s="122">
        <v>157.5</v>
      </c>
      <c r="G24" s="122">
        <v>201.0645</v>
      </c>
    </row>
    <row r="25" spans="1:7" ht="12.75">
      <c r="A25" s="19" t="s">
        <v>157</v>
      </c>
      <c r="B25" s="19"/>
      <c r="C25" s="19" t="s">
        <v>16</v>
      </c>
      <c r="D25" s="104"/>
      <c r="E25" s="121">
        <v>9.611</v>
      </c>
      <c r="F25" s="122">
        <v>7.329000000000001</v>
      </c>
      <c r="G25" s="122">
        <v>12.0645</v>
      </c>
    </row>
    <row r="26" spans="1:7" ht="12.75">
      <c r="A26" s="19" t="s">
        <v>145</v>
      </c>
      <c r="B26" s="19"/>
      <c r="C26" s="19" t="s">
        <v>16</v>
      </c>
      <c r="D26" s="104"/>
      <c r="E26" s="121">
        <v>0.931</v>
      </c>
      <c r="F26" s="122">
        <v>0.6930000000000001</v>
      </c>
      <c r="G26" s="122">
        <v>1.05</v>
      </c>
    </row>
    <row r="27" spans="1:7" ht="12.75">
      <c r="A27" s="19" t="s">
        <v>146</v>
      </c>
      <c r="B27" s="19"/>
      <c r="C27" s="19" t="s">
        <v>16</v>
      </c>
      <c r="D27" s="104"/>
      <c r="E27" s="121">
        <v>0.6650000000000001</v>
      </c>
      <c r="F27" s="122">
        <v>0.315</v>
      </c>
      <c r="G27" s="122">
        <v>0.8400000000000001</v>
      </c>
    </row>
    <row r="28" spans="1:7" ht="12.75">
      <c r="A28" s="19" t="s">
        <v>206</v>
      </c>
      <c r="B28" s="19"/>
      <c r="C28" s="19" t="s">
        <v>23</v>
      </c>
      <c r="D28" s="104"/>
      <c r="E28" s="121">
        <v>0.0603188888888889</v>
      </c>
      <c r="F28" s="122">
        <v>0.05051666666666667</v>
      </c>
      <c r="G28" s="122">
        <v>0.07794000000000001</v>
      </c>
    </row>
    <row r="29" spans="1:7" ht="12.75">
      <c r="A29" s="19" t="s">
        <v>205</v>
      </c>
      <c r="B29" s="19"/>
      <c r="C29" s="19" t="s">
        <v>23</v>
      </c>
      <c r="D29" s="104"/>
      <c r="E29" s="121">
        <v>0.024123225</v>
      </c>
      <c r="F29" s="122">
        <v>0.020934375</v>
      </c>
      <c r="G29" s="122">
        <v>0.0312375</v>
      </c>
    </row>
    <row r="30" spans="1:7" ht="12.75">
      <c r="A30" s="19" t="s">
        <v>39</v>
      </c>
      <c r="B30" s="19"/>
      <c r="C30" s="19" t="s">
        <v>16</v>
      </c>
      <c r="D30" s="104"/>
      <c r="E30" s="121">
        <v>6.439125000000001</v>
      </c>
      <c r="F30" s="122">
        <v>6.0375000000000005</v>
      </c>
      <c r="G30" s="122">
        <v>7.14</v>
      </c>
    </row>
    <row r="31" spans="1:7" ht="12.75">
      <c r="A31" s="19" t="s">
        <v>143</v>
      </c>
      <c r="B31" s="19"/>
      <c r="C31" s="19" t="s">
        <v>16</v>
      </c>
      <c r="D31" s="104"/>
      <c r="E31" s="121">
        <v>3.0975000000000006</v>
      </c>
      <c r="F31" s="122">
        <v>2.5725000000000002</v>
      </c>
      <c r="G31" s="122">
        <v>3.8325</v>
      </c>
    </row>
    <row r="32" spans="1:7" ht="12.75">
      <c r="A32" s="19" t="s">
        <v>24</v>
      </c>
      <c r="B32" s="19"/>
      <c r="C32" s="19" t="s">
        <v>16</v>
      </c>
      <c r="D32" s="104"/>
      <c r="E32" s="121">
        <v>2.3940000000000006</v>
      </c>
      <c r="F32" s="122">
        <v>1.3125</v>
      </c>
      <c r="G32" s="122">
        <v>3.4755000000000003</v>
      </c>
    </row>
    <row r="33" spans="1:7" ht="12.75">
      <c r="A33" s="19" t="s">
        <v>211</v>
      </c>
      <c r="B33" s="19"/>
      <c r="C33" s="19" t="s">
        <v>16</v>
      </c>
      <c r="D33" s="104"/>
      <c r="E33" s="121">
        <v>3.454500000000001</v>
      </c>
      <c r="F33" s="122">
        <v>3.0345000000000004</v>
      </c>
      <c r="G33" s="122">
        <v>4.189500000000001</v>
      </c>
    </row>
    <row r="34" spans="1:7" ht="12.75">
      <c r="A34" s="19" t="s">
        <v>40</v>
      </c>
      <c r="B34" s="19"/>
      <c r="C34" s="19" t="s">
        <v>16</v>
      </c>
      <c r="D34" s="104"/>
      <c r="E34" s="121">
        <v>0.11812500000000002</v>
      </c>
      <c r="F34" s="122">
        <v>0.08925000000000001</v>
      </c>
      <c r="G34" s="122">
        <v>0.14700000000000002</v>
      </c>
    </row>
    <row r="35" spans="1:7" ht="12.75">
      <c r="A35" s="19" t="s">
        <v>144</v>
      </c>
      <c r="B35" s="19"/>
      <c r="C35" s="19" t="s">
        <v>16</v>
      </c>
      <c r="D35" s="104"/>
      <c r="E35" s="121">
        <v>0.1715</v>
      </c>
      <c r="F35" s="122">
        <v>0.1575</v>
      </c>
      <c r="G35" s="122">
        <v>0.17850000000000002</v>
      </c>
    </row>
    <row r="36" spans="1:7" ht="12.75">
      <c r="A36" s="19" t="s">
        <v>49</v>
      </c>
      <c r="B36" s="19"/>
      <c r="C36" s="19" t="s">
        <v>16</v>
      </c>
      <c r="D36" s="104"/>
      <c r="E36" s="121">
        <v>0.372645</v>
      </c>
      <c r="F36" s="122">
        <v>0.23079</v>
      </c>
      <c r="G36" s="122">
        <v>0.5145</v>
      </c>
    </row>
    <row r="37" spans="1:7" ht="12.75">
      <c r="A37" s="19" t="s">
        <v>50</v>
      </c>
      <c r="B37" s="19"/>
      <c r="C37" s="19" t="s">
        <v>16</v>
      </c>
      <c r="D37" s="104"/>
      <c r="E37" s="121">
        <v>0.866145</v>
      </c>
      <c r="F37" s="122">
        <v>0.41958</v>
      </c>
      <c r="G37" s="122">
        <v>0.9712500000000001</v>
      </c>
    </row>
    <row r="38" spans="1:7" ht="12.75">
      <c r="A38" s="19" t="s">
        <v>212</v>
      </c>
      <c r="B38" s="19"/>
      <c r="C38" s="19" t="s">
        <v>25</v>
      </c>
      <c r="D38" s="104"/>
      <c r="E38" s="121">
        <v>2.1515725</v>
      </c>
      <c r="F38" s="122">
        <v>1.9949999999999999</v>
      </c>
      <c r="G38" s="122">
        <v>2.5725000000000002</v>
      </c>
    </row>
    <row r="39" spans="1:7" ht="12.75">
      <c r="A39" s="19" t="s">
        <v>213</v>
      </c>
      <c r="B39" s="19"/>
      <c r="C39" s="19" t="s">
        <v>25</v>
      </c>
      <c r="D39" s="104"/>
      <c r="E39" s="121">
        <v>1.56975</v>
      </c>
      <c r="F39" s="122">
        <v>0.63</v>
      </c>
      <c r="G39" s="122">
        <v>2.1</v>
      </c>
    </row>
    <row r="40" spans="1:7" ht="12.75">
      <c r="A40" s="131" t="s">
        <v>214</v>
      </c>
      <c r="B40" s="19"/>
      <c r="C40" s="19" t="s">
        <v>26</v>
      </c>
      <c r="D40" s="104"/>
      <c r="E40" s="121">
        <v>95</v>
      </c>
      <c r="F40" s="122" t="s">
        <v>215</v>
      </c>
      <c r="G40" s="122" t="s">
        <v>215</v>
      </c>
    </row>
    <row r="41" spans="1:7" ht="12.75">
      <c r="A41" s="131" t="s">
        <v>216</v>
      </c>
      <c r="B41" s="19"/>
      <c r="C41" s="19" t="s">
        <v>26</v>
      </c>
      <c r="D41" s="104"/>
      <c r="E41" s="121">
        <v>40</v>
      </c>
      <c r="F41" s="122" t="s">
        <v>215</v>
      </c>
      <c r="G41" s="122" t="s">
        <v>215</v>
      </c>
    </row>
    <row r="42" spans="1:7" ht="12.75">
      <c r="A42" s="19" t="s">
        <v>27</v>
      </c>
      <c r="B42" s="19"/>
      <c r="C42" s="26"/>
      <c r="D42" s="93"/>
      <c r="E42" s="121"/>
      <c r="F42" s="122"/>
      <c r="G42" s="122"/>
    </row>
    <row r="43" spans="1:7" ht="12.75">
      <c r="A43" s="19"/>
      <c r="B43" s="19"/>
      <c r="C43" s="26"/>
      <c r="D43" s="104"/>
      <c r="E43" s="123"/>
      <c r="F43" s="122"/>
      <c r="G43" s="122"/>
    </row>
    <row r="44" spans="1:7" ht="12.75">
      <c r="A44" s="19" t="s">
        <v>136</v>
      </c>
      <c r="B44" s="19"/>
      <c r="C44" s="19" t="s">
        <v>16</v>
      </c>
      <c r="D44" s="104"/>
      <c r="E44" s="121">
        <v>5.084625000000001</v>
      </c>
      <c r="F44" s="122">
        <v>3.6645000000000003</v>
      </c>
      <c r="G44" s="122">
        <v>6.2475000000000005</v>
      </c>
    </row>
    <row r="45" spans="1:7" ht="12.75">
      <c r="A45" s="19" t="s">
        <v>137</v>
      </c>
      <c r="B45" s="19"/>
      <c r="C45" s="19" t="s">
        <v>16</v>
      </c>
      <c r="D45" s="104"/>
      <c r="E45" s="121">
        <v>5.42325</v>
      </c>
      <c r="F45" s="122">
        <v>3.8745000000000003</v>
      </c>
      <c r="G45" s="122">
        <v>6.772500000000001</v>
      </c>
    </row>
    <row r="46" spans="1:7" ht="12.75">
      <c r="A46" s="19" t="s">
        <v>138</v>
      </c>
      <c r="B46" s="19"/>
      <c r="C46" s="19" t="s">
        <v>16</v>
      </c>
      <c r="D46" s="104"/>
      <c r="E46" s="121">
        <v>5.851125</v>
      </c>
      <c r="F46" s="122">
        <v>3.9585000000000004</v>
      </c>
      <c r="G46" s="122">
        <v>7.2975</v>
      </c>
    </row>
    <row r="47" spans="1:7" ht="12.75">
      <c r="A47" s="19" t="s">
        <v>139</v>
      </c>
      <c r="B47" s="19"/>
      <c r="C47" s="19" t="s">
        <v>16</v>
      </c>
      <c r="D47" s="104"/>
      <c r="E47" s="121">
        <v>6.381375000000001</v>
      </c>
      <c r="F47" s="122">
        <v>4.3785</v>
      </c>
      <c r="G47" s="122">
        <v>8.0325</v>
      </c>
    </row>
    <row r="48" spans="1:7" ht="12.75">
      <c r="A48" s="19" t="s">
        <v>140</v>
      </c>
      <c r="B48" s="19"/>
      <c r="C48" s="19" t="s">
        <v>16</v>
      </c>
      <c r="D48" s="104"/>
      <c r="E48" s="121">
        <v>7.625625</v>
      </c>
      <c r="F48" s="122">
        <v>5.5545</v>
      </c>
      <c r="G48" s="122">
        <v>9.691500000000001</v>
      </c>
    </row>
    <row r="49" spans="1:7" ht="12.75">
      <c r="A49" s="19" t="s">
        <v>141</v>
      </c>
      <c r="B49" s="19"/>
      <c r="C49" s="19" t="s">
        <v>16</v>
      </c>
      <c r="D49" s="104"/>
      <c r="E49" s="121">
        <v>9.0825</v>
      </c>
      <c r="F49" s="122">
        <v>7.1295</v>
      </c>
      <c r="G49" s="122">
        <v>11.0145</v>
      </c>
    </row>
    <row r="50" spans="1:7" ht="12.75">
      <c r="A50" s="19" t="s">
        <v>147</v>
      </c>
      <c r="B50" s="19"/>
      <c r="C50" s="19" t="s">
        <v>16</v>
      </c>
      <c r="D50" s="104"/>
      <c r="E50" s="121">
        <v>13.426875</v>
      </c>
      <c r="F50" s="122">
        <v>12.5475</v>
      </c>
      <c r="G50" s="122">
        <v>13.723500000000001</v>
      </c>
    </row>
    <row r="51" spans="1:7" ht="12.75" customHeight="1">
      <c r="A51" s="19" t="s">
        <v>218</v>
      </c>
      <c r="B51" s="19"/>
      <c r="C51" s="19"/>
      <c r="D51" s="19"/>
      <c r="E51" s="121"/>
      <c r="F51" s="122"/>
      <c r="G51" s="122"/>
    </row>
    <row r="52" spans="1:7" ht="13.5" thickBot="1">
      <c r="A52" s="58"/>
      <c r="B52" s="58"/>
      <c r="C52" s="58"/>
      <c r="D52" s="58"/>
      <c r="E52" s="58"/>
      <c r="F52" s="58"/>
      <c r="G52" s="58"/>
    </row>
    <row r="53" spans="1:7" ht="18" customHeight="1">
      <c r="A53" s="140" t="s">
        <v>127</v>
      </c>
      <c r="B53" s="140"/>
      <c r="C53" s="140"/>
      <c r="D53" s="140"/>
      <c r="E53" s="140"/>
      <c r="F53" s="140"/>
      <c r="G53" s="140"/>
    </row>
    <row r="54" spans="1:7" ht="13.5">
      <c r="A54" s="141" t="s">
        <v>128</v>
      </c>
      <c r="B54" s="141"/>
      <c r="C54" s="141"/>
      <c r="D54" s="141"/>
      <c r="E54" s="141"/>
      <c r="F54" s="141"/>
      <c r="G54" s="141"/>
    </row>
    <row r="55" spans="1:5" ht="12.75">
      <c r="A55" s="138"/>
      <c r="B55" s="138"/>
      <c r="C55" s="138"/>
      <c r="D55" s="138"/>
      <c r="E55" s="138"/>
    </row>
  </sheetData>
  <sheetProtection/>
  <mergeCells count="5">
    <mergeCell ref="A3:G3"/>
    <mergeCell ref="A55:E55"/>
    <mergeCell ref="F5:G5"/>
    <mergeCell ref="A53:G53"/>
    <mergeCell ref="A54:G54"/>
  </mergeCells>
  <printOptions horizontalCentered="1"/>
  <pageMargins left="0.75" right="0.75" top="0.5" bottom="0.5" header="0.5" footer="0.5"/>
  <pageSetup fitToHeight="1" fitToWidth="1" horizontalDpi="600" verticalDpi="600" orientation="portrait" scale="89" r:id="rId4"/>
  <drawing r:id="rId3"/>
  <legacyDrawing r:id="rId2"/>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L101"/>
  <sheetViews>
    <sheetView showGridLines="0" zoomScalePageLayoutView="0" workbookViewId="0" topLeftCell="A1">
      <selection activeCell="A46" sqref="A46:A47"/>
    </sheetView>
  </sheetViews>
  <sheetFormatPr defaultColWidth="9.625" defaultRowHeight="12.75"/>
  <cols>
    <col min="1" max="1" width="30.625" style="1" customWidth="1"/>
    <col min="2" max="2" width="7.625" style="1" customWidth="1"/>
    <col min="3" max="3" width="9.625" style="1" customWidth="1"/>
    <col min="4" max="4" width="5.625" style="1" customWidth="1"/>
    <col min="5" max="5" width="9.625" style="1" customWidth="1"/>
    <col min="6" max="6" width="14.00390625" style="1" customWidth="1"/>
    <col min="7" max="7" width="9.125" style="1" customWidth="1"/>
    <col min="8" max="8" width="12.625" style="1" customWidth="1"/>
    <col min="9" max="9" width="10.125" style="1" customWidth="1"/>
    <col min="10" max="10" width="13.125" style="1" customWidth="1"/>
    <col min="11" max="11" width="10.375" style="1" customWidth="1"/>
    <col min="12" max="12" width="8.625" style="1" customWidth="1"/>
    <col min="13" max="13" width="1.625" style="1" customWidth="1"/>
    <col min="14" max="16384" width="9.625" style="1" customWidth="1"/>
  </cols>
  <sheetData>
    <row r="1" ht="15.75">
      <c r="A1" s="46" t="s">
        <v>53</v>
      </c>
    </row>
    <row r="2" spans="4:10" ht="12.75">
      <c r="D2" s="2"/>
      <c r="E2" s="142" t="s">
        <v>0</v>
      </c>
      <c r="F2" s="143"/>
      <c r="G2" s="142" t="s">
        <v>0</v>
      </c>
      <c r="H2" s="143"/>
      <c r="I2" s="142" t="s">
        <v>1</v>
      </c>
      <c r="J2" s="143"/>
    </row>
    <row r="3" spans="1:10" ht="16.5">
      <c r="A3" s="4"/>
      <c r="E3" s="142" t="s">
        <v>2</v>
      </c>
      <c r="F3" s="143"/>
      <c r="G3" s="142" t="s">
        <v>3</v>
      </c>
      <c r="H3" s="143"/>
      <c r="I3" s="142" t="s">
        <v>4</v>
      </c>
      <c r="J3" s="143"/>
    </row>
    <row r="4" spans="5:12" ht="12.75">
      <c r="E4" s="144" t="s">
        <v>5</v>
      </c>
      <c r="F4" s="143"/>
      <c r="G4" s="142" t="s">
        <v>5</v>
      </c>
      <c r="H4" s="143"/>
      <c r="I4" s="142" t="s">
        <v>6</v>
      </c>
      <c r="J4" s="143"/>
      <c r="K4" s="5" t="s">
        <v>7</v>
      </c>
      <c r="L4" s="5"/>
    </row>
    <row r="5" spans="5:12" ht="12.75">
      <c r="E5" s="142" t="s">
        <v>8</v>
      </c>
      <c r="F5" s="143"/>
      <c r="G5" s="142" t="s">
        <v>8</v>
      </c>
      <c r="H5" s="143"/>
      <c r="I5" s="142" t="s">
        <v>9</v>
      </c>
      <c r="J5" s="143"/>
      <c r="K5" s="6" t="s">
        <v>10</v>
      </c>
      <c r="L5" s="6"/>
    </row>
    <row r="6" ht="12.75"/>
    <row r="7" spans="1:12" ht="12.75">
      <c r="A7" s="7" t="s">
        <v>11</v>
      </c>
      <c r="B7" s="7" t="s">
        <v>12</v>
      </c>
      <c r="C7" s="8" t="s">
        <v>13</v>
      </c>
      <c r="D7" s="9"/>
      <c r="E7" s="8" t="s">
        <v>55</v>
      </c>
      <c r="F7" s="8" t="s">
        <v>14</v>
      </c>
      <c r="G7" s="8" t="s">
        <v>55</v>
      </c>
      <c r="H7" s="8" t="s">
        <v>14</v>
      </c>
      <c r="I7" s="8" t="s">
        <v>55</v>
      </c>
      <c r="J7" s="8" t="s">
        <v>14</v>
      </c>
      <c r="K7" s="8" t="s">
        <v>55</v>
      </c>
      <c r="L7" s="8" t="s">
        <v>14</v>
      </c>
    </row>
    <row r="8" spans="1:10" ht="13.5" thickBot="1">
      <c r="A8" s="10"/>
      <c r="B8" s="10"/>
      <c r="C8" s="10"/>
      <c r="D8" s="10"/>
      <c r="E8" s="10"/>
      <c r="F8" s="10"/>
      <c r="G8" s="10"/>
      <c r="H8" s="10"/>
      <c r="I8" s="10"/>
      <c r="J8" s="10"/>
    </row>
    <row r="9" spans="1:12" ht="21" customHeight="1">
      <c r="A9" s="114" t="s">
        <v>163</v>
      </c>
      <c r="B9" s="12" t="s">
        <v>16</v>
      </c>
      <c r="C9" s="14">
        <f>'Intro - Prices'!E7</f>
        <v>13.549500000000002</v>
      </c>
      <c r="D9" s="13"/>
      <c r="E9" s="95">
        <v>0</v>
      </c>
      <c r="F9" s="14">
        <f aca="true" t="shared" si="0" ref="F9:F27">C9*E9</f>
        <v>0</v>
      </c>
      <c r="G9" s="95">
        <v>16</v>
      </c>
      <c r="H9" s="103">
        <f aca="true" t="shared" si="1" ref="H9:H27">C9*G9</f>
        <v>216.79200000000003</v>
      </c>
      <c r="I9" s="95">
        <v>16</v>
      </c>
      <c r="J9" s="103">
        <f aca="true" t="shared" si="2" ref="J9:J27">C9*I9</f>
        <v>216.79200000000003</v>
      </c>
      <c r="K9" s="16"/>
      <c r="L9" s="17"/>
    </row>
    <row r="10" spans="1:12" ht="12.75">
      <c r="A10" s="115" t="s">
        <v>184</v>
      </c>
      <c r="B10" s="19" t="s">
        <v>16</v>
      </c>
      <c r="C10" s="22">
        <f>'Intro - Prices'!E9</f>
        <v>8.358</v>
      </c>
      <c r="D10" s="20"/>
      <c r="E10" s="96">
        <v>0</v>
      </c>
      <c r="F10" s="22">
        <f t="shared" si="0"/>
        <v>0</v>
      </c>
      <c r="G10" s="96">
        <v>72</v>
      </c>
      <c r="H10" s="23">
        <f t="shared" si="1"/>
        <v>601.7760000000001</v>
      </c>
      <c r="I10" s="96">
        <v>72</v>
      </c>
      <c r="J10" s="23">
        <f t="shared" si="2"/>
        <v>601.7760000000001</v>
      </c>
      <c r="K10" s="24"/>
      <c r="L10" s="25"/>
    </row>
    <row r="11" spans="1:12" ht="12.75">
      <c r="A11" s="115" t="s">
        <v>165</v>
      </c>
      <c r="B11" s="19" t="s">
        <v>16</v>
      </c>
      <c r="C11" s="22">
        <f>'Intro - Prices'!E14</f>
        <v>8.83225</v>
      </c>
      <c r="D11" s="20"/>
      <c r="E11" s="96">
        <v>0</v>
      </c>
      <c r="F11" s="22">
        <f t="shared" si="0"/>
        <v>0</v>
      </c>
      <c r="G11" s="96">
        <v>12</v>
      </c>
      <c r="H11" s="23">
        <f t="shared" si="1"/>
        <v>105.987</v>
      </c>
      <c r="I11" s="96">
        <v>12</v>
      </c>
      <c r="J11" s="23">
        <f t="shared" si="2"/>
        <v>105.987</v>
      </c>
      <c r="K11" s="24"/>
      <c r="L11" s="25"/>
    </row>
    <row r="12" spans="1:12" ht="12.75">
      <c r="A12" s="115" t="s">
        <v>188</v>
      </c>
      <c r="B12" s="19" t="s">
        <v>16</v>
      </c>
      <c r="C12" s="22">
        <f>'Intro - Prices'!E15</f>
        <v>8.4</v>
      </c>
      <c r="D12" s="20"/>
      <c r="E12" s="96">
        <v>100</v>
      </c>
      <c r="F12" s="22">
        <f t="shared" si="0"/>
        <v>840</v>
      </c>
      <c r="G12" s="96">
        <v>0</v>
      </c>
      <c r="H12" s="23">
        <f t="shared" si="1"/>
        <v>0</v>
      </c>
      <c r="I12" s="96">
        <v>0</v>
      </c>
      <c r="J12" s="23">
        <f t="shared" si="2"/>
        <v>0</v>
      </c>
      <c r="K12" s="26"/>
      <c r="L12" s="25"/>
    </row>
    <row r="13" spans="1:12" ht="12.75">
      <c r="A13" s="115" t="s">
        <v>193</v>
      </c>
      <c r="B13" s="19" t="s">
        <v>20</v>
      </c>
      <c r="C13" s="22">
        <f>'Intro - Prices'!E16</f>
        <v>205.34850000000003</v>
      </c>
      <c r="D13" s="20"/>
      <c r="E13" s="96">
        <f>1000/330</f>
        <v>3.0303030303030303</v>
      </c>
      <c r="F13" s="22">
        <f t="shared" si="0"/>
        <v>622.2681818181819</v>
      </c>
      <c r="G13" s="96">
        <f>1000/330</f>
        <v>3.0303030303030303</v>
      </c>
      <c r="H13" s="23">
        <f t="shared" si="1"/>
        <v>622.2681818181819</v>
      </c>
      <c r="I13" s="96">
        <v>0</v>
      </c>
      <c r="J13" s="23">
        <f t="shared" si="2"/>
        <v>0</v>
      </c>
      <c r="K13" s="26"/>
      <c r="L13" s="25"/>
    </row>
    <row r="14" spans="1:12" ht="12.75">
      <c r="A14" s="115" t="s">
        <v>194</v>
      </c>
      <c r="B14" s="19" t="s">
        <v>20</v>
      </c>
      <c r="C14" s="22">
        <f>'Intro - Prices'!E17</f>
        <v>174.3</v>
      </c>
      <c r="D14" s="20"/>
      <c r="E14" s="96">
        <v>0</v>
      </c>
      <c r="F14" s="22">
        <f t="shared" si="0"/>
        <v>0</v>
      </c>
      <c r="G14" s="96">
        <v>0</v>
      </c>
      <c r="H14" s="23">
        <f t="shared" si="1"/>
        <v>0</v>
      </c>
      <c r="I14" s="96">
        <f>1000/330</f>
        <v>3.0303030303030303</v>
      </c>
      <c r="J14" s="23">
        <f t="shared" si="2"/>
        <v>528.1818181818182</v>
      </c>
      <c r="K14" s="26"/>
      <c r="L14" s="25"/>
    </row>
    <row r="15" spans="1:12" ht="12.75">
      <c r="A15" s="115" t="s">
        <v>195</v>
      </c>
      <c r="B15" s="19" t="s">
        <v>20</v>
      </c>
      <c r="C15" s="22">
        <f>'Intro - Prices'!E20</f>
        <v>71.5995</v>
      </c>
      <c r="D15" s="20"/>
      <c r="E15" s="96">
        <v>0.8</v>
      </c>
      <c r="F15" s="22">
        <f t="shared" si="0"/>
        <v>57.27960000000001</v>
      </c>
      <c r="G15" s="96">
        <v>0.8</v>
      </c>
      <c r="H15" s="23">
        <f t="shared" si="1"/>
        <v>57.27960000000001</v>
      </c>
      <c r="I15" s="96">
        <v>0</v>
      </c>
      <c r="J15" s="23">
        <f t="shared" si="2"/>
        <v>0</v>
      </c>
      <c r="K15" s="26"/>
      <c r="L15" s="25"/>
    </row>
    <row r="16" spans="1:12" ht="12.75">
      <c r="A16" s="115" t="s">
        <v>196</v>
      </c>
      <c r="B16" s="19" t="s">
        <v>20</v>
      </c>
      <c r="C16" s="22">
        <f>'Intro - Prices'!E21</f>
        <v>44.919000000000004</v>
      </c>
      <c r="D16" s="20"/>
      <c r="E16" s="96">
        <v>0</v>
      </c>
      <c r="F16" s="22">
        <f t="shared" si="0"/>
        <v>0</v>
      </c>
      <c r="G16" s="96">
        <v>0</v>
      </c>
      <c r="H16" s="23">
        <f t="shared" si="1"/>
        <v>0</v>
      </c>
      <c r="I16" s="96">
        <v>0.8</v>
      </c>
      <c r="J16" s="23">
        <f t="shared" si="2"/>
        <v>35.9352</v>
      </c>
      <c r="K16" s="26"/>
      <c r="L16" s="25"/>
    </row>
    <row r="17" spans="1:12" ht="12.75">
      <c r="A17" s="115" t="s">
        <v>170</v>
      </c>
      <c r="B17" s="19" t="s">
        <v>16</v>
      </c>
      <c r="C17" s="22">
        <f>'Intro - Prices'!E23</f>
        <v>139.341</v>
      </c>
      <c r="D17" s="20"/>
      <c r="E17" s="96">
        <v>1</v>
      </c>
      <c r="F17" s="22">
        <f>C17*E17</f>
        <v>139.341</v>
      </c>
      <c r="G17" s="96">
        <v>1</v>
      </c>
      <c r="H17" s="23">
        <f>C17*G17</f>
        <v>139.341</v>
      </c>
      <c r="I17" s="96">
        <v>1</v>
      </c>
      <c r="J17" s="23">
        <f>C17*I17</f>
        <v>139.341</v>
      </c>
      <c r="K17" s="26"/>
      <c r="L17" s="25"/>
    </row>
    <row r="18" spans="1:12" ht="12.75">
      <c r="A18" s="18" t="s">
        <v>171</v>
      </c>
      <c r="B18" s="19" t="s">
        <v>16</v>
      </c>
      <c r="C18" s="22">
        <f>'Intro - Prices'!E25</f>
        <v>9.611</v>
      </c>
      <c r="D18" s="20"/>
      <c r="E18" s="96">
        <v>2</v>
      </c>
      <c r="F18" s="22">
        <f>C18*E18</f>
        <v>19.222</v>
      </c>
      <c r="G18" s="96">
        <v>2</v>
      </c>
      <c r="H18" s="23">
        <f>C18*G18</f>
        <v>19.222</v>
      </c>
      <c r="I18" s="96">
        <v>2</v>
      </c>
      <c r="J18" s="23">
        <f>C18*I18</f>
        <v>19.222</v>
      </c>
      <c r="K18" s="26"/>
      <c r="L18" s="25"/>
    </row>
    <row r="19" spans="1:12" ht="12.75">
      <c r="A19" s="115" t="s">
        <v>166</v>
      </c>
      <c r="B19" s="19" t="s">
        <v>16</v>
      </c>
      <c r="C19" s="22">
        <f>'Intro - Prices'!E26</f>
        <v>0.931</v>
      </c>
      <c r="D19" s="20"/>
      <c r="E19" s="96">
        <v>8</v>
      </c>
      <c r="F19" s="22">
        <f t="shared" si="0"/>
        <v>7.448</v>
      </c>
      <c r="G19" s="96">
        <v>8</v>
      </c>
      <c r="H19" s="23">
        <f t="shared" si="1"/>
        <v>7.448</v>
      </c>
      <c r="I19" s="96">
        <v>8</v>
      </c>
      <c r="J19" s="23">
        <f t="shared" si="2"/>
        <v>7.448</v>
      </c>
      <c r="K19" s="24"/>
      <c r="L19" s="25"/>
    </row>
    <row r="20" spans="1:12" ht="12.75">
      <c r="A20" s="115" t="s">
        <v>167</v>
      </c>
      <c r="B20" s="19" t="s">
        <v>16</v>
      </c>
      <c r="C20" s="22">
        <f>'Intro - Prices'!E27</f>
        <v>0.6650000000000001</v>
      </c>
      <c r="D20" s="20"/>
      <c r="E20" s="96">
        <v>6</v>
      </c>
      <c r="F20" s="22">
        <f t="shared" si="0"/>
        <v>3.990000000000001</v>
      </c>
      <c r="G20" s="96">
        <v>6</v>
      </c>
      <c r="H20" s="23">
        <f t="shared" si="1"/>
        <v>3.990000000000001</v>
      </c>
      <c r="I20" s="96">
        <v>6</v>
      </c>
      <c r="J20" s="23">
        <f t="shared" si="2"/>
        <v>3.990000000000001</v>
      </c>
      <c r="K20" s="24"/>
      <c r="L20" s="25"/>
    </row>
    <row r="21" spans="1:12" ht="12.75">
      <c r="A21" s="115" t="s">
        <v>168</v>
      </c>
      <c r="B21" s="19" t="s">
        <v>23</v>
      </c>
      <c r="C21" s="94">
        <f>'Intro - Prices'!E28</f>
        <v>0.0603188888888889</v>
      </c>
      <c r="D21" s="27"/>
      <c r="E21" s="96">
        <v>480</v>
      </c>
      <c r="F21" s="22">
        <f t="shared" si="0"/>
        <v>28.953066666666672</v>
      </c>
      <c r="G21" s="96">
        <v>480</v>
      </c>
      <c r="H21" s="23">
        <f t="shared" si="1"/>
        <v>28.953066666666672</v>
      </c>
      <c r="I21" s="96">
        <v>480</v>
      </c>
      <c r="J21" s="23">
        <f t="shared" si="2"/>
        <v>28.953066666666672</v>
      </c>
      <c r="K21" s="24"/>
      <c r="L21" s="25"/>
    </row>
    <row r="22" spans="1:12" ht="12.75">
      <c r="A22" s="115" t="s">
        <v>186</v>
      </c>
      <c r="B22" s="19" t="s">
        <v>16</v>
      </c>
      <c r="C22" s="22">
        <f>'Intro - Prices'!E32</f>
        <v>2.3940000000000006</v>
      </c>
      <c r="D22" s="20"/>
      <c r="E22" s="96">
        <v>12</v>
      </c>
      <c r="F22" s="22">
        <f t="shared" si="0"/>
        <v>28.72800000000001</v>
      </c>
      <c r="G22" s="96">
        <v>12</v>
      </c>
      <c r="H22" s="23">
        <f t="shared" si="1"/>
        <v>28.72800000000001</v>
      </c>
      <c r="I22" s="96">
        <v>12</v>
      </c>
      <c r="J22" s="23">
        <f t="shared" si="2"/>
        <v>28.72800000000001</v>
      </c>
      <c r="K22" s="24"/>
      <c r="L22" s="25"/>
    </row>
    <row r="23" spans="1:12" ht="12.75">
      <c r="A23" s="115" t="s">
        <v>178</v>
      </c>
      <c r="B23" s="19" t="s">
        <v>25</v>
      </c>
      <c r="C23" s="22">
        <f>'Intro - Prices'!E38</f>
        <v>2.1515725</v>
      </c>
      <c r="D23" s="20"/>
      <c r="E23" s="96">
        <v>0</v>
      </c>
      <c r="F23" s="22">
        <f t="shared" si="0"/>
        <v>0</v>
      </c>
      <c r="G23" s="96">
        <v>0</v>
      </c>
      <c r="H23" s="23">
        <f t="shared" si="1"/>
        <v>0</v>
      </c>
      <c r="I23" s="96">
        <f>0.0156*(I9+I10)*11*1.01</f>
        <v>15.251808</v>
      </c>
      <c r="J23" s="23">
        <f t="shared" si="2"/>
        <v>32.81537066808</v>
      </c>
      <c r="K23" s="24"/>
      <c r="L23" s="25"/>
    </row>
    <row r="24" spans="1:12" ht="12.75">
      <c r="A24" s="115" t="s">
        <v>191</v>
      </c>
      <c r="B24" s="19" t="s">
        <v>25</v>
      </c>
      <c r="C24" s="22">
        <f>'Intro - Prices'!E39</f>
        <v>1.56975</v>
      </c>
      <c r="D24" s="20"/>
      <c r="E24" s="96">
        <f>0.011*(E12)*11*1.01</f>
        <v>12.220999999999998</v>
      </c>
      <c r="F24" s="22">
        <f t="shared" si="0"/>
        <v>19.183914749999996</v>
      </c>
      <c r="G24" s="96">
        <f>0.011*(G9+G10)*11*1.01</f>
        <v>10.75448</v>
      </c>
      <c r="H24" s="23">
        <f t="shared" si="1"/>
        <v>16.881844979999997</v>
      </c>
      <c r="I24" s="96">
        <v>0</v>
      </c>
      <c r="J24" s="23">
        <f t="shared" si="2"/>
        <v>0</v>
      </c>
      <c r="K24" s="26"/>
      <c r="L24" s="25"/>
    </row>
    <row r="25" spans="1:12" ht="12.75">
      <c r="A25" s="132" t="s">
        <v>214</v>
      </c>
      <c r="B25" s="19" t="s">
        <v>26</v>
      </c>
      <c r="C25" s="22">
        <f>'Intro - Prices'!E40</f>
        <v>95</v>
      </c>
      <c r="D25" s="20"/>
      <c r="E25" s="96">
        <f>((E12*7)/60)</f>
        <v>11.666666666666666</v>
      </c>
      <c r="F25" s="22">
        <f t="shared" si="0"/>
        <v>1108.3333333333333</v>
      </c>
      <c r="G25" s="96">
        <f>((G9*8)+(G10*6))/60</f>
        <v>9.333333333333334</v>
      </c>
      <c r="H25" s="23">
        <f t="shared" si="1"/>
        <v>886.6666666666667</v>
      </c>
      <c r="I25" s="96">
        <f>((I9*8)+(I10*6))/60</f>
        <v>9.333333333333334</v>
      </c>
      <c r="J25" s="23">
        <f t="shared" si="2"/>
        <v>886.6666666666667</v>
      </c>
      <c r="K25" s="24"/>
      <c r="L25" s="25"/>
    </row>
    <row r="26" spans="1:12" ht="12.75">
      <c r="A26" s="132" t="s">
        <v>216</v>
      </c>
      <c r="B26" s="19" t="s">
        <v>26</v>
      </c>
      <c r="C26" s="22">
        <f>'Intro - Prices'!E41</f>
        <v>40</v>
      </c>
      <c r="D26" s="20"/>
      <c r="E26" s="96">
        <f>((6*75)+(88*(6+1))+(1000*(0.5+0.2))+30)/60</f>
        <v>29.933333333333334</v>
      </c>
      <c r="F26" s="22">
        <f t="shared" si="0"/>
        <v>1197.3333333333333</v>
      </c>
      <c r="G26" s="96">
        <f>((6*75)+(88*(6+1))+(1000*(0.5+0.2))+30)/60</f>
        <v>29.933333333333334</v>
      </c>
      <c r="H26" s="23">
        <f t="shared" si="1"/>
        <v>1197.3333333333333</v>
      </c>
      <c r="I26" s="96">
        <f>((6*75)+(88*(6+1))+(1000*(0.5+0.2))+30)/60</f>
        <v>29.933333333333334</v>
      </c>
      <c r="J26" s="23">
        <f t="shared" si="2"/>
        <v>1197.3333333333333</v>
      </c>
      <c r="K26" s="24"/>
      <c r="L26" s="25"/>
    </row>
    <row r="27" spans="1:12" ht="12.75">
      <c r="A27" s="118" t="s">
        <v>187</v>
      </c>
      <c r="B27" s="110"/>
      <c r="C27" s="113">
        <v>0</v>
      </c>
      <c r="D27" s="113"/>
      <c r="E27" s="98">
        <v>0</v>
      </c>
      <c r="F27" s="108">
        <f t="shared" si="0"/>
        <v>0</v>
      </c>
      <c r="G27" s="98">
        <v>0</v>
      </c>
      <c r="H27" s="109">
        <f t="shared" si="1"/>
        <v>0</v>
      </c>
      <c r="I27" s="98">
        <v>0</v>
      </c>
      <c r="J27" s="109">
        <f t="shared" si="2"/>
        <v>0</v>
      </c>
      <c r="K27" s="24"/>
      <c r="L27" s="25"/>
    </row>
    <row r="28" spans="1:12" ht="12.75">
      <c r="A28" s="28"/>
      <c r="B28" s="26"/>
      <c r="C28" s="20"/>
      <c r="D28" s="20"/>
      <c r="E28" s="29"/>
      <c r="F28" s="15"/>
      <c r="G28" s="21"/>
      <c r="H28" s="23"/>
      <c r="I28" s="21"/>
      <c r="J28" s="23"/>
      <c r="K28" s="24"/>
      <c r="L28" s="25"/>
    </row>
    <row r="29" spans="1:12" ht="12.75">
      <c r="A29" s="106" t="s">
        <v>181</v>
      </c>
      <c r="B29" s="30" t="s">
        <v>28</v>
      </c>
      <c r="C29" s="24"/>
      <c r="D29" s="24"/>
      <c r="E29" s="24"/>
      <c r="F29" s="23">
        <f>SUM(F9:F24)</f>
        <v>1766.4137632348488</v>
      </c>
      <c r="G29" s="31"/>
      <c r="H29" s="23">
        <f>SUM(H9:H24)</f>
        <v>1848.6666934648492</v>
      </c>
      <c r="I29" s="32"/>
      <c r="J29" s="23">
        <f>SUM(J9:J24)</f>
        <v>1749.169455516565</v>
      </c>
      <c r="K29" s="22"/>
      <c r="L29" s="25"/>
    </row>
    <row r="30" spans="1:12" ht="12.75">
      <c r="A30" s="28"/>
      <c r="B30" s="30" t="s">
        <v>29</v>
      </c>
      <c r="C30" s="24"/>
      <c r="D30" s="24"/>
      <c r="E30" s="24"/>
      <c r="F30" s="34">
        <f>F29/1000</f>
        <v>1.7664137632348489</v>
      </c>
      <c r="G30" s="33"/>
      <c r="H30" s="34">
        <f>H29/1000</f>
        <v>1.8486666934648492</v>
      </c>
      <c r="I30" s="35"/>
      <c r="J30" s="34">
        <f>J29/1000</f>
        <v>1.7491694555165649</v>
      </c>
      <c r="K30" s="22"/>
      <c r="L30" s="36"/>
    </row>
    <row r="31" spans="1:12" ht="12.75">
      <c r="A31" s="28"/>
      <c r="B31" s="26"/>
      <c r="C31" s="24"/>
      <c r="D31" s="24"/>
      <c r="E31" s="24"/>
      <c r="F31" s="23"/>
      <c r="G31" s="31"/>
      <c r="H31" s="23"/>
      <c r="I31" s="32"/>
      <c r="J31" s="23"/>
      <c r="K31" s="22"/>
      <c r="L31" s="25"/>
    </row>
    <row r="32" spans="1:12" ht="12.75">
      <c r="A32" s="28"/>
      <c r="B32" s="30" t="s">
        <v>30</v>
      </c>
      <c r="C32" s="24"/>
      <c r="D32" s="24"/>
      <c r="E32" s="24"/>
      <c r="F32" s="23">
        <f>F25+F26</f>
        <v>2305.6666666666665</v>
      </c>
      <c r="G32" s="31"/>
      <c r="H32" s="23">
        <f>H25+H26</f>
        <v>2084</v>
      </c>
      <c r="I32" s="32"/>
      <c r="J32" s="23">
        <f>J25+J26</f>
        <v>2084</v>
      </c>
      <c r="K32" s="22"/>
      <c r="L32" s="25"/>
    </row>
    <row r="33" spans="1:12" ht="12.75">
      <c r="A33" s="28"/>
      <c r="B33" s="30" t="s">
        <v>31</v>
      </c>
      <c r="C33" s="24"/>
      <c r="D33" s="24"/>
      <c r="E33" s="24"/>
      <c r="F33" s="34">
        <f>F32/1000</f>
        <v>2.3056666666666663</v>
      </c>
      <c r="G33" s="33"/>
      <c r="H33" s="34">
        <f>H32/1000</f>
        <v>2.084</v>
      </c>
      <c r="I33" s="35"/>
      <c r="J33" s="34">
        <f>J32/1000</f>
        <v>2.084</v>
      </c>
      <c r="K33" s="22"/>
      <c r="L33" s="36"/>
    </row>
    <row r="34" spans="1:12" ht="12.75">
      <c r="A34" s="28"/>
      <c r="B34" s="26"/>
      <c r="C34" s="24"/>
      <c r="D34" s="24"/>
      <c r="E34" s="24"/>
      <c r="F34" s="23"/>
      <c r="G34" s="31"/>
      <c r="H34" s="23"/>
      <c r="I34" s="32"/>
      <c r="J34" s="23"/>
      <c r="K34" s="22"/>
      <c r="L34" s="25"/>
    </row>
    <row r="35" spans="1:12" ht="12.75">
      <c r="A35" s="28"/>
      <c r="B35" s="30" t="s">
        <v>32</v>
      </c>
      <c r="C35" s="24"/>
      <c r="D35" s="24"/>
      <c r="E35" s="24"/>
      <c r="F35" s="23">
        <f>SUM(F9:F27)</f>
        <v>4072.0804299015153</v>
      </c>
      <c r="G35" s="31"/>
      <c r="H35" s="23">
        <f>SUM(H9:H27)</f>
        <v>3932.6666934648492</v>
      </c>
      <c r="I35" s="32"/>
      <c r="J35" s="23">
        <f>SUM(J9:J27)</f>
        <v>3833.169455516565</v>
      </c>
      <c r="K35" s="22"/>
      <c r="L35" s="25"/>
    </row>
    <row r="36" spans="1:12" ht="13.5" thickBot="1">
      <c r="A36" s="37"/>
      <c r="B36" s="38" t="s">
        <v>33</v>
      </c>
      <c r="C36" s="39"/>
      <c r="D36" s="39"/>
      <c r="E36" s="39"/>
      <c r="F36" s="86">
        <f>F35/1000</f>
        <v>4.072080429901515</v>
      </c>
      <c r="G36" s="75"/>
      <c r="H36" s="86">
        <f>H35/1000</f>
        <v>3.9326666934648493</v>
      </c>
      <c r="I36" s="75"/>
      <c r="J36" s="86">
        <f>J35/1000</f>
        <v>3.833169455516565</v>
      </c>
      <c r="K36" s="42"/>
      <c r="L36" s="43"/>
    </row>
    <row r="37" ht="12.75"/>
    <row r="38" spans="1:12" ht="15">
      <c r="A38" s="81" t="s">
        <v>61</v>
      </c>
      <c r="B38" s="76"/>
      <c r="C38" s="26"/>
      <c r="D38" s="80" t="s">
        <v>70</v>
      </c>
      <c r="E38" s="77"/>
      <c r="F38" s="26"/>
      <c r="G38" s="26"/>
      <c r="H38" s="26"/>
      <c r="I38" s="81"/>
      <c r="J38" s="26"/>
      <c r="K38" s="26"/>
      <c r="L38" s="26"/>
    </row>
    <row r="39" spans="1:12" ht="12.75">
      <c r="A39" s="26" t="s">
        <v>62</v>
      </c>
      <c r="B39" s="26"/>
      <c r="C39" s="78"/>
      <c r="D39" s="79" t="s">
        <v>82</v>
      </c>
      <c r="E39" s="77"/>
      <c r="F39" s="26"/>
      <c r="G39" s="79"/>
      <c r="H39" s="26"/>
      <c r="I39" s="26"/>
      <c r="J39" s="26"/>
      <c r="K39" s="26"/>
      <c r="L39" s="26"/>
    </row>
    <row r="40" spans="1:12" ht="12.75">
      <c r="A40" s="26" t="s">
        <v>80</v>
      </c>
      <c r="B40" s="26"/>
      <c r="C40" s="78"/>
      <c r="D40" s="26" t="s">
        <v>71</v>
      </c>
      <c r="E40" s="26"/>
      <c r="F40" s="26"/>
      <c r="G40" s="26"/>
      <c r="H40" s="26"/>
      <c r="I40" s="26"/>
      <c r="J40" s="26"/>
      <c r="K40" s="26"/>
      <c r="L40" s="26"/>
    </row>
    <row r="41" spans="1:12" ht="12.75">
      <c r="A41" s="26" t="s">
        <v>64</v>
      </c>
      <c r="B41" s="26"/>
      <c r="C41" s="26"/>
      <c r="D41" s="26" t="s">
        <v>72</v>
      </c>
      <c r="E41" s="26"/>
      <c r="F41" s="26"/>
      <c r="G41" s="26"/>
      <c r="H41" s="26"/>
      <c r="I41" s="26"/>
      <c r="J41" s="26"/>
      <c r="K41" s="26"/>
      <c r="L41" s="26"/>
    </row>
    <row r="42" spans="1:12" ht="12.75">
      <c r="A42" s="26" t="s">
        <v>65</v>
      </c>
      <c r="B42" s="26"/>
      <c r="C42" s="26"/>
      <c r="D42" s="26" t="s">
        <v>73</v>
      </c>
      <c r="E42" s="26"/>
      <c r="F42" s="30"/>
      <c r="G42" s="26"/>
      <c r="H42" s="26"/>
      <c r="I42" s="26"/>
      <c r="J42" s="26"/>
      <c r="K42" s="26"/>
      <c r="L42" s="26"/>
    </row>
    <row r="43" spans="1:12" ht="12.75">
      <c r="A43" s="82" t="s">
        <v>81</v>
      </c>
      <c r="B43" s="26"/>
      <c r="C43" s="26"/>
      <c r="D43" s="26" t="s">
        <v>155</v>
      </c>
      <c r="E43" s="26"/>
      <c r="F43" s="19"/>
      <c r="G43" s="26"/>
      <c r="H43" s="26"/>
      <c r="I43" s="26"/>
      <c r="J43" s="26"/>
      <c r="K43" s="26"/>
      <c r="L43" s="26"/>
    </row>
    <row r="44" spans="1:12" ht="12.75">
      <c r="A44" s="19" t="s">
        <v>68</v>
      </c>
      <c r="B44" s="26"/>
      <c r="C44" s="26"/>
      <c r="D44" s="26" t="s">
        <v>156</v>
      </c>
      <c r="E44" s="26"/>
      <c r="F44" s="19"/>
      <c r="G44" s="26"/>
      <c r="H44" s="26"/>
      <c r="I44" s="26"/>
      <c r="J44" s="26"/>
      <c r="K44" s="26"/>
      <c r="L44" s="26"/>
    </row>
    <row r="45" spans="1:12" ht="12.75">
      <c r="A45" s="28"/>
      <c r="B45" s="26"/>
      <c r="C45" s="26"/>
      <c r="D45" s="26"/>
      <c r="E45" s="26"/>
      <c r="F45" s="19"/>
      <c r="G45" s="26"/>
      <c r="H45" s="26"/>
      <c r="I45" s="26"/>
      <c r="J45" s="26"/>
      <c r="K45" s="26"/>
      <c r="L45" s="26"/>
    </row>
    <row r="46" spans="1:12" ht="12.75">
      <c r="A46" s="133" t="s">
        <v>220</v>
      </c>
      <c r="B46" s="26"/>
      <c r="C46" s="26"/>
      <c r="D46" s="26"/>
      <c r="E46" s="26"/>
      <c r="F46" s="62"/>
      <c r="G46" s="62"/>
      <c r="H46" s="62"/>
      <c r="I46" s="62"/>
      <c r="J46" s="62"/>
      <c r="K46" s="26"/>
      <c r="L46" s="26"/>
    </row>
    <row r="47" spans="1:12" ht="12.75">
      <c r="A47" s="133" t="s">
        <v>219</v>
      </c>
      <c r="B47" s="26"/>
      <c r="C47" s="26"/>
      <c r="D47" s="26"/>
      <c r="E47" s="26"/>
      <c r="F47" s="30"/>
      <c r="G47" s="26"/>
      <c r="H47" s="26"/>
      <c r="I47" s="26"/>
      <c r="J47" s="26"/>
      <c r="K47" s="26"/>
      <c r="L47" s="26"/>
    </row>
    <row r="48" ht="12.75">
      <c r="A48" s="45"/>
    </row>
    <row r="101" ht="12.75">
      <c r="A101" s="44"/>
    </row>
  </sheetData>
  <sheetProtection/>
  <mergeCells count="12">
    <mergeCell ref="I2:J2"/>
    <mergeCell ref="I3:J3"/>
    <mergeCell ref="I4:J4"/>
    <mergeCell ref="I5:J5"/>
    <mergeCell ref="G2:H2"/>
    <mergeCell ref="G3:H3"/>
    <mergeCell ref="G4:H4"/>
    <mergeCell ref="G5:H5"/>
    <mergeCell ref="E2:F2"/>
    <mergeCell ref="E3:F3"/>
    <mergeCell ref="E4:F4"/>
    <mergeCell ref="E5:F5"/>
  </mergeCells>
  <printOptions horizontalCentered="1" verticalCentered="1"/>
  <pageMargins left="0.25" right="0.25" top="0.25" bottom="0.25" header="0" footer="0"/>
  <pageSetup fitToHeight="1" fitToWidth="1" horizontalDpi="600" verticalDpi="600" orientation="landscape" scale="96" r:id="rId3"/>
  <ignoredErrors>
    <ignoredError sqref="F13 F26 H25" formula="1"/>
  </ignoredErrors>
  <legacyDrawing r:id="rId2"/>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L101"/>
  <sheetViews>
    <sheetView showGridLines="0" zoomScalePageLayoutView="0" workbookViewId="0" topLeftCell="A40">
      <selection activeCell="A46" sqref="A46:A47"/>
    </sheetView>
  </sheetViews>
  <sheetFormatPr defaultColWidth="9.625" defaultRowHeight="12.75"/>
  <cols>
    <col min="1" max="1" width="28.625" style="1" customWidth="1"/>
    <col min="2" max="2" width="7.625" style="1" customWidth="1"/>
    <col min="3" max="3" width="9.625" style="1" customWidth="1"/>
    <col min="4" max="4" width="5.625" style="1" customWidth="1"/>
    <col min="5" max="5" width="9.875" style="1" customWidth="1"/>
    <col min="6" max="6" width="12.625" style="1" customWidth="1"/>
    <col min="7" max="7" width="9.625" style="1" customWidth="1"/>
    <col min="8" max="8" width="12.625" style="1" customWidth="1"/>
    <col min="9" max="9" width="9.625" style="1" customWidth="1"/>
    <col min="10" max="10" width="12.625" style="1" customWidth="1"/>
    <col min="11" max="11" width="9.625" style="1" customWidth="1"/>
    <col min="12" max="12" width="12.625" style="1" customWidth="1"/>
    <col min="13" max="13" width="1.625" style="1" customWidth="1"/>
    <col min="14" max="16384" width="9.625" style="1" customWidth="1"/>
  </cols>
  <sheetData>
    <row r="1" ht="15.75">
      <c r="A1" s="46" t="s">
        <v>130</v>
      </c>
    </row>
    <row r="2" spans="4:10" ht="12.75">
      <c r="D2" s="2"/>
      <c r="E2" s="142" t="s">
        <v>131</v>
      </c>
      <c r="F2" s="143"/>
      <c r="G2" s="142" t="s">
        <v>131</v>
      </c>
      <c r="H2" s="143"/>
      <c r="I2" s="142" t="s">
        <v>131</v>
      </c>
      <c r="J2" s="143"/>
    </row>
    <row r="3" spans="1:10" ht="16.5">
      <c r="A3" s="4"/>
      <c r="E3" s="142" t="s">
        <v>2</v>
      </c>
      <c r="F3" s="143"/>
      <c r="G3" s="142" t="s">
        <v>4</v>
      </c>
      <c r="H3" s="143"/>
      <c r="I3" s="142" t="s">
        <v>4</v>
      </c>
      <c r="J3" s="143"/>
    </row>
    <row r="4" spans="5:12" ht="12.75">
      <c r="E4" s="144" t="s">
        <v>132</v>
      </c>
      <c r="F4" s="143"/>
      <c r="G4" s="144" t="s">
        <v>132</v>
      </c>
      <c r="H4" s="143"/>
      <c r="I4" s="144" t="s">
        <v>154</v>
      </c>
      <c r="J4" s="143"/>
      <c r="K4" s="145" t="s">
        <v>7</v>
      </c>
      <c r="L4" s="145"/>
    </row>
    <row r="5" spans="5:12" ht="12.75">
      <c r="E5" s="142" t="s">
        <v>8</v>
      </c>
      <c r="F5" s="143"/>
      <c r="G5" s="142" t="s">
        <v>8</v>
      </c>
      <c r="H5" s="143"/>
      <c r="I5" s="142" t="s">
        <v>158</v>
      </c>
      <c r="J5" s="143"/>
      <c r="K5" s="146" t="s">
        <v>10</v>
      </c>
      <c r="L5" s="146"/>
    </row>
    <row r="6" ht="12.75"/>
    <row r="7" spans="1:12" ht="12.75">
      <c r="A7" s="7" t="s">
        <v>11</v>
      </c>
      <c r="B7" s="7" t="s">
        <v>12</v>
      </c>
      <c r="C7" s="8" t="s">
        <v>13</v>
      </c>
      <c r="D7" s="9"/>
      <c r="E7" s="8" t="s">
        <v>55</v>
      </c>
      <c r="F7" s="8" t="s">
        <v>14</v>
      </c>
      <c r="G7" s="8" t="s">
        <v>55</v>
      </c>
      <c r="H7" s="8" t="s">
        <v>14</v>
      </c>
      <c r="I7" s="8" t="s">
        <v>55</v>
      </c>
      <c r="J7" s="8" t="s">
        <v>14</v>
      </c>
      <c r="K7" s="8" t="s">
        <v>55</v>
      </c>
      <c r="L7" s="8" t="s">
        <v>14</v>
      </c>
    </row>
    <row r="8" spans="1:10" ht="13.5" thickBot="1">
      <c r="A8" s="10"/>
      <c r="B8" s="10"/>
      <c r="C8" s="10"/>
      <c r="D8" s="10"/>
      <c r="E8" s="10"/>
      <c r="F8" s="10"/>
      <c r="G8" s="10"/>
      <c r="H8" s="10"/>
      <c r="I8" s="10"/>
      <c r="J8" s="10"/>
    </row>
    <row r="9" spans="1:12" ht="21" customHeight="1">
      <c r="A9" s="114" t="s">
        <v>163</v>
      </c>
      <c r="B9" s="12" t="s">
        <v>16</v>
      </c>
      <c r="C9" s="14">
        <f>'Intro - Prices'!E7</f>
        <v>13.549500000000002</v>
      </c>
      <c r="D9" s="13"/>
      <c r="E9" s="95">
        <v>0</v>
      </c>
      <c r="F9" s="14">
        <f aca="true" t="shared" si="0" ref="F9:F27">C9*E9</f>
        <v>0</v>
      </c>
      <c r="G9" s="95">
        <v>16</v>
      </c>
      <c r="H9" s="103">
        <f aca="true" t="shared" si="1" ref="H9:H27">C9*G9</f>
        <v>216.79200000000003</v>
      </c>
      <c r="I9" s="95">
        <v>16</v>
      </c>
      <c r="J9" s="103">
        <f aca="true" t="shared" si="2" ref="J9:J27">C9*I9</f>
        <v>216.79200000000003</v>
      </c>
      <c r="K9" s="16"/>
      <c r="L9" s="17"/>
    </row>
    <row r="10" spans="1:12" ht="12.75">
      <c r="A10" s="115" t="s">
        <v>184</v>
      </c>
      <c r="B10" s="19" t="s">
        <v>16</v>
      </c>
      <c r="C10" s="22">
        <f>'Intro - Prices'!E9</f>
        <v>8.358</v>
      </c>
      <c r="D10" s="20"/>
      <c r="E10" s="96">
        <v>0</v>
      </c>
      <c r="F10" s="22">
        <f t="shared" si="0"/>
        <v>0</v>
      </c>
      <c r="G10" s="96">
        <v>43</v>
      </c>
      <c r="H10" s="23">
        <f t="shared" si="1"/>
        <v>359.394</v>
      </c>
      <c r="I10" s="96">
        <v>43</v>
      </c>
      <c r="J10" s="23">
        <f t="shared" si="2"/>
        <v>359.394</v>
      </c>
      <c r="K10" s="24"/>
      <c r="L10" s="25"/>
    </row>
    <row r="11" spans="1:12" ht="12.75">
      <c r="A11" s="115" t="s">
        <v>202</v>
      </c>
      <c r="B11" s="19" t="s">
        <v>16</v>
      </c>
      <c r="C11" s="22">
        <f>'Intro - Prices'!E11</f>
        <v>13.740562500000001</v>
      </c>
      <c r="D11" s="20"/>
      <c r="E11" s="96">
        <v>4</v>
      </c>
      <c r="F11" s="22">
        <f t="shared" si="0"/>
        <v>54.962250000000004</v>
      </c>
      <c r="G11" s="96">
        <v>4</v>
      </c>
      <c r="H11" s="23">
        <f t="shared" si="1"/>
        <v>54.962250000000004</v>
      </c>
      <c r="I11" s="96">
        <v>4</v>
      </c>
      <c r="J11" s="23">
        <f t="shared" si="2"/>
        <v>54.962250000000004</v>
      </c>
      <c r="K11" s="24"/>
      <c r="L11" s="25"/>
    </row>
    <row r="12" spans="1:12" ht="12.75">
      <c r="A12" s="115" t="s">
        <v>188</v>
      </c>
      <c r="B12" s="19" t="s">
        <v>16</v>
      </c>
      <c r="C12" s="22">
        <f>'Intro - Prices'!E15</f>
        <v>8.4</v>
      </c>
      <c r="D12" s="20"/>
      <c r="E12" s="96">
        <v>59</v>
      </c>
      <c r="F12" s="22">
        <f t="shared" si="0"/>
        <v>495.6</v>
      </c>
      <c r="G12" s="96">
        <v>0</v>
      </c>
      <c r="H12" s="23">
        <f t="shared" si="1"/>
        <v>0</v>
      </c>
      <c r="I12" s="96">
        <v>0</v>
      </c>
      <c r="J12" s="23">
        <f t="shared" si="2"/>
        <v>0</v>
      </c>
      <c r="K12" s="26"/>
      <c r="L12" s="25"/>
    </row>
    <row r="13" spans="1:12" ht="12.75">
      <c r="A13" s="115" t="s">
        <v>197</v>
      </c>
      <c r="B13" s="19" t="s">
        <v>20</v>
      </c>
      <c r="C13" s="22">
        <f>'Intro - Prices'!E16</f>
        <v>205.34850000000003</v>
      </c>
      <c r="D13" s="20"/>
      <c r="E13" s="96">
        <v>0</v>
      </c>
      <c r="F13" s="22">
        <f t="shared" si="0"/>
        <v>0</v>
      </c>
      <c r="G13" s="96">
        <v>0</v>
      </c>
      <c r="H13" s="23">
        <f t="shared" si="1"/>
        <v>0</v>
      </c>
      <c r="I13" s="96">
        <v>0</v>
      </c>
      <c r="J13" s="23">
        <f t="shared" si="2"/>
        <v>0</v>
      </c>
      <c r="K13" s="26"/>
      <c r="L13" s="25"/>
    </row>
    <row r="14" spans="1:12" ht="12.75">
      <c r="A14" s="115" t="s">
        <v>198</v>
      </c>
      <c r="B14" s="19" t="s">
        <v>20</v>
      </c>
      <c r="C14" s="22">
        <f>'Intro - Prices'!E17</f>
        <v>174.3</v>
      </c>
      <c r="D14" s="20"/>
      <c r="E14" s="96">
        <v>0</v>
      </c>
      <c r="F14" s="22">
        <f t="shared" si="0"/>
        <v>0</v>
      </c>
      <c r="G14" s="96">
        <v>0</v>
      </c>
      <c r="H14" s="23">
        <f t="shared" si="1"/>
        <v>0</v>
      </c>
      <c r="I14" s="96">
        <v>0</v>
      </c>
      <c r="J14" s="23">
        <f t="shared" si="2"/>
        <v>0</v>
      </c>
      <c r="K14" s="26"/>
      <c r="L14" s="25"/>
    </row>
    <row r="15" spans="1:12" ht="12.75">
      <c r="A15" s="115" t="s">
        <v>199</v>
      </c>
      <c r="B15" s="19" t="s">
        <v>20</v>
      </c>
      <c r="C15" s="22">
        <f>'Intro - Prices'!E18</f>
        <v>152.2465</v>
      </c>
      <c r="D15" s="20"/>
      <c r="E15" s="96">
        <v>3</v>
      </c>
      <c r="F15" s="22">
        <f>C15*E15</f>
        <v>456.7395</v>
      </c>
      <c r="G15" s="96">
        <v>3</v>
      </c>
      <c r="H15" s="23">
        <f>C15*G15</f>
        <v>456.7395</v>
      </c>
      <c r="I15" s="96">
        <v>3</v>
      </c>
      <c r="J15" s="23">
        <f>C15*I15</f>
        <v>456.7395</v>
      </c>
      <c r="K15" s="26"/>
      <c r="L15" s="25"/>
    </row>
    <row r="16" spans="1:12" ht="12.75">
      <c r="A16" s="115" t="s">
        <v>192</v>
      </c>
      <c r="B16" s="19" t="s">
        <v>20</v>
      </c>
      <c r="C16" s="22">
        <f>'Intro - Prices'!E21</f>
        <v>44.919000000000004</v>
      </c>
      <c r="D16" s="20"/>
      <c r="E16" s="96">
        <v>0.8</v>
      </c>
      <c r="F16" s="22">
        <f t="shared" si="0"/>
        <v>35.9352</v>
      </c>
      <c r="G16" s="96">
        <v>0.8</v>
      </c>
      <c r="H16" s="23">
        <f t="shared" si="1"/>
        <v>35.9352</v>
      </c>
      <c r="I16" s="96">
        <v>0</v>
      </c>
      <c r="J16" s="23">
        <f t="shared" si="2"/>
        <v>0</v>
      </c>
      <c r="K16" s="26"/>
      <c r="L16" s="25"/>
    </row>
    <row r="17" spans="1:12" ht="12.75">
      <c r="A17" s="115" t="s">
        <v>170</v>
      </c>
      <c r="B17" s="19" t="s">
        <v>16</v>
      </c>
      <c r="C17" s="22">
        <f>'Intro - Prices'!E23</f>
        <v>139.341</v>
      </c>
      <c r="D17" s="20"/>
      <c r="E17" s="96">
        <v>1</v>
      </c>
      <c r="F17" s="22">
        <f t="shared" si="0"/>
        <v>139.341</v>
      </c>
      <c r="G17" s="96">
        <v>1</v>
      </c>
      <c r="H17" s="23">
        <f t="shared" si="1"/>
        <v>139.341</v>
      </c>
      <c r="I17" s="96">
        <v>0</v>
      </c>
      <c r="J17" s="23">
        <f t="shared" si="2"/>
        <v>0</v>
      </c>
      <c r="K17" s="26"/>
      <c r="L17" s="25"/>
    </row>
    <row r="18" spans="1:12" ht="12.75">
      <c r="A18" s="18" t="s">
        <v>171</v>
      </c>
      <c r="B18" s="19" t="s">
        <v>16</v>
      </c>
      <c r="C18" s="22">
        <f>'Intro - Prices'!E25</f>
        <v>9.611</v>
      </c>
      <c r="D18" s="20"/>
      <c r="E18" s="96">
        <v>2</v>
      </c>
      <c r="F18" s="22">
        <f>C18*E18</f>
        <v>19.222</v>
      </c>
      <c r="G18" s="96">
        <v>2</v>
      </c>
      <c r="H18" s="23">
        <f>C18*G18</f>
        <v>19.222</v>
      </c>
      <c r="I18" s="96">
        <v>0</v>
      </c>
      <c r="J18" s="23">
        <f>C18*I18</f>
        <v>0</v>
      </c>
      <c r="K18" s="26"/>
      <c r="L18" s="25"/>
    </row>
    <row r="19" spans="1:12" ht="12.75">
      <c r="A19" s="115" t="s">
        <v>166</v>
      </c>
      <c r="B19" s="19" t="s">
        <v>16</v>
      </c>
      <c r="C19" s="22">
        <f>'Intro - Prices'!E26</f>
        <v>0.931</v>
      </c>
      <c r="D19" s="20"/>
      <c r="E19" s="96">
        <v>8</v>
      </c>
      <c r="F19" s="22">
        <f t="shared" si="0"/>
        <v>7.448</v>
      </c>
      <c r="G19" s="96">
        <v>8</v>
      </c>
      <c r="H19" s="23">
        <f t="shared" si="1"/>
        <v>7.448</v>
      </c>
      <c r="I19" s="96">
        <v>8</v>
      </c>
      <c r="J19" s="23">
        <f t="shared" si="2"/>
        <v>7.448</v>
      </c>
      <c r="K19" s="24"/>
      <c r="L19" s="25"/>
    </row>
    <row r="20" spans="1:12" ht="12.75">
      <c r="A20" s="115" t="s">
        <v>167</v>
      </c>
      <c r="B20" s="19" t="s">
        <v>16</v>
      </c>
      <c r="C20" s="22">
        <f>'Intro - Prices'!E27</f>
        <v>0.6650000000000001</v>
      </c>
      <c r="D20" s="20"/>
      <c r="E20" s="96">
        <v>6</v>
      </c>
      <c r="F20" s="22">
        <f t="shared" si="0"/>
        <v>3.990000000000001</v>
      </c>
      <c r="G20" s="96">
        <v>6</v>
      </c>
      <c r="H20" s="23">
        <f t="shared" si="1"/>
        <v>3.990000000000001</v>
      </c>
      <c r="I20" s="96">
        <v>6</v>
      </c>
      <c r="J20" s="23">
        <f t="shared" si="2"/>
        <v>3.990000000000001</v>
      </c>
      <c r="K20" s="24"/>
      <c r="L20" s="25"/>
    </row>
    <row r="21" spans="1:12" ht="12.75">
      <c r="A21" s="115" t="s">
        <v>168</v>
      </c>
      <c r="B21" s="19" t="s">
        <v>23</v>
      </c>
      <c r="C21" s="94">
        <f>'Intro - Prices'!E28</f>
        <v>0.0603188888888889</v>
      </c>
      <c r="D21" s="27"/>
      <c r="E21" s="96">
        <v>240</v>
      </c>
      <c r="F21" s="22">
        <f t="shared" si="0"/>
        <v>14.476533333333336</v>
      </c>
      <c r="G21" s="96">
        <v>240</v>
      </c>
      <c r="H21" s="23">
        <f t="shared" si="1"/>
        <v>14.476533333333336</v>
      </c>
      <c r="I21" s="96">
        <v>240</v>
      </c>
      <c r="J21" s="23">
        <f t="shared" si="2"/>
        <v>14.476533333333336</v>
      </c>
      <c r="K21" s="24"/>
      <c r="L21" s="25"/>
    </row>
    <row r="22" spans="1:12" ht="12.75">
      <c r="A22" s="19" t="s">
        <v>173</v>
      </c>
      <c r="B22" s="19" t="s">
        <v>16</v>
      </c>
      <c r="C22" s="22">
        <f>'Intro - Prices'!E32</f>
        <v>2.3940000000000006</v>
      </c>
      <c r="D22" s="20"/>
      <c r="E22" s="96">
        <v>2</v>
      </c>
      <c r="F22" s="22">
        <f t="shared" si="0"/>
        <v>4.788000000000001</v>
      </c>
      <c r="G22" s="96">
        <v>2</v>
      </c>
      <c r="H22" s="23">
        <f t="shared" si="1"/>
        <v>4.788000000000001</v>
      </c>
      <c r="I22" s="96">
        <v>2</v>
      </c>
      <c r="J22" s="23">
        <f t="shared" si="2"/>
        <v>4.788000000000001</v>
      </c>
      <c r="K22" s="24"/>
      <c r="L22" s="25"/>
    </row>
    <row r="23" spans="1:12" ht="12.75">
      <c r="A23" s="115" t="s">
        <v>178</v>
      </c>
      <c r="B23" s="19" t="s">
        <v>25</v>
      </c>
      <c r="C23" s="22">
        <f>'Intro - Prices'!E38</f>
        <v>2.1515725</v>
      </c>
      <c r="D23" s="20"/>
      <c r="E23" s="96">
        <v>0</v>
      </c>
      <c r="F23" s="22">
        <f t="shared" si="0"/>
        <v>0</v>
      </c>
      <c r="G23" s="96">
        <f>0.0156*(G9+G10)*10*1.01</f>
        <v>9.296040000000001</v>
      </c>
      <c r="H23" s="23">
        <f t="shared" si="1"/>
        <v>20.0011040229</v>
      </c>
      <c r="I23" s="96">
        <f>0.0156*(I9+I10)*9*1.01</f>
        <v>8.366436</v>
      </c>
      <c r="J23" s="23">
        <f t="shared" si="2"/>
        <v>18.00099362061</v>
      </c>
      <c r="K23" s="24"/>
      <c r="L23" s="25"/>
    </row>
    <row r="24" spans="1:12" ht="12.75">
      <c r="A24" s="115" t="s">
        <v>191</v>
      </c>
      <c r="B24" s="19" t="s">
        <v>25</v>
      </c>
      <c r="C24" s="22">
        <f>'Intro - Prices'!E39</f>
        <v>1.56975</v>
      </c>
      <c r="D24" s="20"/>
      <c r="E24" s="96">
        <f>0.011*(E12)*13*1.01</f>
        <v>8.52137</v>
      </c>
      <c r="F24" s="22">
        <f t="shared" si="0"/>
        <v>13.3764205575</v>
      </c>
      <c r="G24" s="96">
        <v>0</v>
      </c>
      <c r="H24" s="23">
        <f t="shared" si="1"/>
        <v>0</v>
      </c>
      <c r="I24" s="96">
        <v>0</v>
      </c>
      <c r="J24" s="23">
        <f t="shared" si="2"/>
        <v>0</v>
      </c>
      <c r="K24" s="26"/>
      <c r="L24" s="25"/>
    </row>
    <row r="25" spans="1:12" ht="12.75">
      <c r="A25" s="132" t="s">
        <v>214</v>
      </c>
      <c r="B25" s="19" t="s">
        <v>26</v>
      </c>
      <c r="C25" s="22">
        <f>'Intro - Prices'!E40</f>
        <v>95</v>
      </c>
      <c r="D25" s="20"/>
      <c r="E25" s="96">
        <f>((E12*7)/60)</f>
        <v>6.883333333333334</v>
      </c>
      <c r="F25" s="22">
        <f t="shared" si="0"/>
        <v>653.9166666666667</v>
      </c>
      <c r="G25" s="96">
        <f>((G9*8)+(G10*6))/60</f>
        <v>6.433333333333334</v>
      </c>
      <c r="H25" s="23">
        <f t="shared" si="1"/>
        <v>611.1666666666667</v>
      </c>
      <c r="I25" s="96">
        <f>((I9*8)+(I10*6))/60</f>
        <v>6.433333333333334</v>
      </c>
      <c r="J25" s="23">
        <f t="shared" si="2"/>
        <v>611.1666666666667</v>
      </c>
      <c r="K25" s="24"/>
      <c r="L25" s="25"/>
    </row>
    <row r="26" spans="1:12" ht="12.75">
      <c r="A26" s="132" t="s">
        <v>216</v>
      </c>
      <c r="B26" s="19" t="s">
        <v>26</v>
      </c>
      <c r="C26" s="22">
        <f>'Intro - Prices'!E41</f>
        <v>40</v>
      </c>
      <c r="D26" s="20"/>
      <c r="E26" s="96">
        <f>((E11*45)+(E12*(6+1))+(1000*(0.5+0.2))+30)/60</f>
        <v>22.05</v>
      </c>
      <c r="F26" s="22">
        <f t="shared" si="0"/>
        <v>882</v>
      </c>
      <c r="G26" s="96">
        <f>((G4*45)+((G9+G10)*(6+1))+(1000*(0.5+0.2))+30)/60</f>
        <v>19.05</v>
      </c>
      <c r="H26" s="23">
        <f t="shared" si="1"/>
        <v>762</v>
      </c>
      <c r="I26" s="96">
        <f>((I4*45)+((I9+I10)*(6))+(1000*(0.5))+20)/60</f>
        <v>14.566666666666666</v>
      </c>
      <c r="J26" s="23">
        <f t="shared" si="2"/>
        <v>582.6666666666666</v>
      </c>
      <c r="K26" s="24"/>
      <c r="L26" s="25"/>
    </row>
    <row r="27" spans="1:12" ht="12.75">
      <c r="A27" s="118" t="s">
        <v>187</v>
      </c>
      <c r="B27" s="110"/>
      <c r="C27" s="113">
        <v>0</v>
      </c>
      <c r="D27" s="113"/>
      <c r="E27" s="98">
        <v>0</v>
      </c>
      <c r="F27" s="108">
        <f t="shared" si="0"/>
        <v>0</v>
      </c>
      <c r="G27" s="98">
        <v>0</v>
      </c>
      <c r="H27" s="109">
        <f t="shared" si="1"/>
        <v>0</v>
      </c>
      <c r="I27" s="98">
        <v>0</v>
      </c>
      <c r="J27" s="109">
        <f t="shared" si="2"/>
        <v>0</v>
      </c>
      <c r="K27" s="24"/>
      <c r="L27" s="25"/>
    </row>
    <row r="28" spans="1:12" ht="12.75">
      <c r="A28" s="28"/>
      <c r="B28" s="26"/>
      <c r="C28" s="20"/>
      <c r="D28" s="20"/>
      <c r="E28" s="29"/>
      <c r="F28" s="15"/>
      <c r="G28" s="21"/>
      <c r="H28" s="23"/>
      <c r="I28" s="21"/>
      <c r="J28" s="23"/>
      <c r="K28" s="24"/>
      <c r="L28" s="25"/>
    </row>
    <row r="29" spans="1:12" ht="12.75">
      <c r="A29" s="106" t="s">
        <v>181</v>
      </c>
      <c r="B29" s="30" t="s">
        <v>28</v>
      </c>
      <c r="C29" s="24"/>
      <c r="D29" s="24"/>
      <c r="E29" s="24"/>
      <c r="F29" s="23">
        <f>SUM(F9:F24)</f>
        <v>1245.8789038908333</v>
      </c>
      <c r="G29" s="31"/>
      <c r="H29" s="23">
        <f>SUM(H9:H24)</f>
        <v>1333.0895873562336</v>
      </c>
      <c r="I29" s="32"/>
      <c r="J29" s="23">
        <f>SUM(J9:J24)</f>
        <v>1136.5912769539434</v>
      </c>
      <c r="K29" s="22"/>
      <c r="L29" s="25"/>
    </row>
    <row r="30" spans="1:12" ht="12.75">
      <c r="A30" s="28"/>
      <c r="B30" s="30" t="s">
        <v>29</v>
      </c>
      <c r="C30" s="24"/>
      <c r="D30" s="24"/>
      <c r="E30" s="24"/>
      <c r="F30" s="34">
        <f>F29/1000</f>
        <v>1.2458789038908333</v>
      </c>
      <c r="G30" s="33"/>
      <c r="H30" s="34">
        <f>H29/1000</f>
        <v>1.3330895873562336</v>
      </c>
      <c r="I30" s="35"/>
      <c r="J30" s="34">
        <f>J29/1000</f>
        <v>1.1365912769539435</v>
      </c>
      <c r="K30" s="22"/>
      <c r="L30" s="36"/>
    </row>
    <row r="31" spans="1:12" ht="12.75">
      <c r="A31" s="28"/>
      <c r="B31" s="26"/>
      <c r="C31" s="24"/>
      <c r="D31" s="24"/>
      <c r="E31" s="24"/>
      <c r="F31" s="23"/>
      <c r="G31" s="31"/>
      <c r="H31" s="23"/>
      <c r="I31" s="32"/>
      <c r="J31" s="23"/>
      <c r="K31" s="22"/>
      <c r="L31" s="25"/>
    </row>
    <row r="32" spans="1:12" ht="12.75">
      <c r="A32" s="28"/>
      <c r="B32" s="30" t="s">
        <v>30</v>
      </c>
      <c r="C32" s="24"/>
      <c r="D32" s="24"/>
      <c r="E32" s="24"/>
      <c r="F32" s="23">
        <f>F25+F26</f>
        <v>1535.9166666666667</v>
      </c>
      <c r="G32" s="31"/>
      <c r="H32" s="23">
        <f>H25+H26</f>
        <v>1373.1666666666667</v>
      </c>
      <c r="I32" s="32"/>
      <c r="J32" s="23">
        <f>J25+J26</f>
        <v>1193.8333333333335</v>
      </c>
      <c r="K32" s="22"/>
      <c r="L32" s="25"/>
    </row>
    <row r="33" spans="1:12" ht="12.75">
      <c r="A33" s="28"/>
      <c r="B33" s="30" t="s">
        <v>31</v>
      </c>
      <c r="C33" s="24"/>
      <c r="D33" s="24"/>
      <c r="E33" s="24"/>
      <c r="F33" s="34">
        <f>F32/1000</f>
        <v>1.5359166666666668</v>
      </c>
      <c r="G33" s="33"/>
      <c r="H33" s="34">
        <f>H32/1000</f>
        <v>1.3731666666666666</v>
      </c>
      <c r="I33" s="35"/>
      <c r="J33" s="34">
        <f>J32/1000</f>
        <v>1.1938333333333335</v>
      </c>
      <c r="K33" s="22"/>
      <c r="L33" s="36"/>
    </row>
    <row r="34" spans="1:12" ht="12.75">
      <c r="A34" s="28"/>
      <c r="B34" s="26"/>
      <c r="C34" s="24"/>
      <c r="D34" s="24"/>
      <c r="E34" s="24"/>
      <c r="F34" s="23"/>
      <c r="G34" s="31"/>
      <c r="H34" s="23"/>
      <c r="I34" s="32"/>
      <c r="J34" s="23"/>
      <c r="K34" s="22"/>
      <c r="L34" s="25"/>
    </row>
    <row r="35" spans="1:12" ht="12.75">
      <c r="A35" s="28"/>
      <c r="B35" s="30" t="s">
        <v>32</v>
      </c>
      <c r="C35" s="24"/>
      <c r="D35" s="24"/>
      <c r="E35" s="24"/>
      <c r="F35" s="23">
        <f>SUM(F9:F27)</f>
        <v>2781.7955705575</v>
      </c>
      <c r="G35" s="31"/>
      <c r="H35" s="23">
        <f>SUM(H9:H27)</f>
        <v>2706.2562540229</v>
      </c>
      <c r="I35" s="32"/>
      <c r="J35" s="23">
        <f>SUM(J9:J27)</f>
        <v>2330.4246102872767</v>
      </c>
      <c r="K35" s="22"/>
      <c r="L35" s="25"/>
    </row>
    <row r="36" spans="1:12" ht="13.5" thickBot="1">
      <c r="A36" s="37"/>
      <c r="B36" s="38" t="s">
        <v>33</v>
      </c>
      <c r="C36" s="39"/>
      <c r="D36" s="39"/>
      <c r="E36" s="39"/>
      <c r="F36" s="86">
        <f>F35/1000</f>
        <v>2.7817955705575</v>
      </c>
      <c r="G36" s="75"/>
      <c r="H36" s="86">
        <f>H35/1000</f>
        <v>2.7062562540229003</v>
      </c>
      <c r="I36" s="75"/>
      <c r="J36" s="86">
        <f>J35/1000</f>
        <v>2.3304246102872765</v>
      </c>
      <c r="K36" s="42"/>
      <c r="L36" s="43"/>
    </row>
    <row r="37" ht="12.75"/>
    <row r="38" spans="1:12" ht="15">
      <c r="A38" s="81" t="s">
        <v>61</v>
      </c>
      <c r="B38" s="76"/>
      <c r="C38" s="26"/>
      <c r="D38" s="80" t="s">
        <v>70</v>
      </c>
      <c r="E38" s="77"/>
      <c r="F38" s="26"/>
      <c r="G38" s="26"/>
      <c r="H38" s="26"/>
      <c r="I38" s="81"/>
      <c r="J38" s="26"/>
      <c r="K38" s="26"/>
      <c r="L38" s="26"/>
    </row>
    <row r="39" spans="1:12" ht="12.75">
      <c r="A39" s="26" t="s">
        <v>62</v>
      </c>
      <c r="B39" s="26"/>
      <c r="C39" s="78"/>
      <c r="D39" s="26" t="s">
        <v>75</v>
      </c>
      <c r="E39" s="77"/>
      <c r="F39" s="26"/>
      <c r="G39" s="79"/>
      <c r="H39" s="26"/>
      <c r="I39" s="26"/>
      <c r="J39" s="26"/>
      <c r="K39" s="26"/>
      <c r="L39" s="26"/>
    </row>
    <row r="40" spans="1:12" ht="12.75">
      <c r="A40" s="26" t="s">
        <v>153</v>
      </c>
      <c r="B40" s="26"/>
      <c r="C40" s="78"/>
      <c r="D40" s="26" t="s">
        <v>71</v>
      </c>
      <c r="E40" s="26"/>
      <c r="F40" s="26"/>
      <c r="G40" s="26"/>
      <c r="H40" s="26"/>
      <c r="I40" s="26"/>
      <c r="J40" s="26"/>
      <c r="K40" s="26"/>
      <c r="L40" s="26"/>
    </row>
    <row r="41" spans="1:12" ht="12.75">
      <c r="A41" s="26" t="s">
        <v>152</v>
      </c>
      <c r="B41" s="26"/>
      <c r="C41" s="26"/>
      <c r="D41" s="26" t="s">
        <v>72</v>
      </c>
      <c r="E41" s="26"/>
      <c r="F41" s="26"/>
      <c r="G41" s="26"/>
      <c r="H41" s="26"/>
      <c r="I41" s="26"/>
      <c r="J41" s="26"/>
      <c r="K41" s="26"/>
      <c r="L41" s="26"/>
    </row>
    <row r="42" spans="1:12" ht="12.75">
      <c r="A42" s="82" t="s">
        <v>150</v>
      </c>
      <c r="B42" s="26"/>
      <c r="C42" s="26"/>
      <c r="D42" s="26" t="s">
        <v>73</v>
      </c>
      <c r="E42" s="26"/>
      <c r="F42" s="30"/>
      <c r="G42" s="26"/>
      <c r="H42" s="26"/>
      <c r="I42" s="26"/>
      <c r="J42" s="26"/>
      <c r="K42" s="26"/>
      <c r="L42" s="26"/>
    </row>
    <row r="43" spans="1:12" ht="12.75">
      <c r="A43" s="82" t="s">
        <v>151</v>
      </c>
      <c r="B43" s="26"/>
      <c r="C43" s="26"/>
      <c r="D43" s="26" t="s">
        <v>155</v>
      </c>
      <c r="E43" s="26"/>
      <c r="F43" s="19"/>
      <c r="G43" s="26"/>
      <c r="H43" s="26"/>
      <c r="I43" s="26"/>
      <c r="J43" s="26"/>
      <c r="K43" s="26"/>
      <c r="L43" s="26"/>
    </row>
    <row r="44" spans="1:12" ht="12.75">
      <c r="A44" s="19" t="s">
        <v>68</v>
      </c>
      <c r="B44" s="26"/>
      <c r="C44" s="26"/>
      <c r="D44" s="26" t="s">
        <v>156</v>
      </c>
      <c r="E44" s="26"/>
      <c r="F44" s="19"/>
      <c r="G44" s="26"/>
      <c r="H44" s="26"/>
      <c r="I44" s="26"/>
      <c r="J44" s="26"/>
      <c r="K44" s="26"/>
      <c r="L44" s="26"/>
    </row>
    <row r="45" spans="1:12" ht="12.75">
      <c r="A45" s="28"/>
      <c r="B45" s="26"/>
      <c r="C45" s="26"/>
      <c r="D45" s="26"/>
      <c r="E45" s="26"/>
      <c r="F45" s="19"/>
      <c r="G45" s="26"/>
      <c r="H45" s="26"/>
      <c r="I45" s="26"/>
      <c r="J45" s="26"/>
      <c r="K45" s="26"/>
      <c r="L45" s="26"/>
    </row>
    <row r="46" spans="1:12" ht="12.75">
      <c r="A46" s="133" t="s">
        <v>220</v>
      </c>
      <c r="B46" s="26"/>
      <c r="C46" s="26"/>
      <c r="D46" s="26"/>
      <c r="E46" s="26"/>
      <c r="F46" s="62"/>
      <c r="G46" s="62"/>
      <c r="H46" s="62"/>
      <c r="I46" s="62"/>
      <c r="J46" s="62"/>
      <c r="K46" s="26"/>
      <c r="L46" s="26"/>
    </row>
    <row r="47" spans="1:12" ht="12.75">
      <c r="A47" s="133" t="s">
        <v>219</v>
      </c>
      <c r="B47" s="26"/>
      <c r="C47" s="26"/>
      <c r="D47" s="26"/>
      <c r="E47" s="26"/>
      <c r="F47" s="30"/>
      <c r="G47" s="26"/>
      <c r="H47" s="26"/>
      <c r="I47" s="26"/>
      <c r="J47" s="26"/>
      <c r="K47" s="26"/>
      <c r="L47" s="26"/>
    </row>
    <row r="48" ht="12.75">
      <c r="A48" s="45"/>
    </row>
    <row r="101" ht="12.75">
      <c r="A101" s="44"/>
    </row>
  </sheetData>
  <sheetProtection/>
  <mergeCells count="14">
    <mergeCell ref="E2:F2"/>
    <mergeCell ref="E3:F3"/>
    <mergeCell ref="E4:F4"/>
    <mergeCell ref="E5:F5"/>
    <mergeCell ref="G2:H2"/>
    <mergeCell ref="G3:H3"/>
    <mergeCell ref="G4:H4"/>
    <mergeCell ref="G5:H5"/>
    <mergeCell ref="I3:J3"/>
    <mergeCell ref="I2:J2"/>
    <mergeCell ref="K4:L4"/>
    <mergeCell ref="K5:L5"/>
    <mergeCell ref="I5:J5"/>
    <mergeCell ref="I4:J4"/>
  </mergeCells>
  <printOptions horizontalCentered="1" verticalCentered="1"/>
  <pageMargins left="0.25" right="0.25" top="0.25" bottom="0.25" header="0" footer="0"/>
  <pageSetup fitToHeight="1" fitToWidth="1" horizontalDpi="600" verticalDpi="600" orientation="landscape"/>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104"/>
  <sheetViews>
    <sheetView zoomScalePageLayoutView="0" workbookViewId="0" topLeftCell="A28">
      <selection activeCell="A45" sqref="A45:A46"/>
    </sheetView>
  </sheetViews>
  <sheetFormatPr defaultColWidth="9.625" defaultRowHeight="12.75"/>
  <cols>
    <col min="1" max="1" width="30.625" style="1" customWidth="1"/>
    <col min="2" max="2" width="9.00390625" style="1" customWidth="1"/>
    <col min="3" max="3" width="8.125" style="1" customWidth="1"/>
    <col min="4" max="4" width="13.00390625" style="1" customWidth="1"/>
    <col min="5" max="5" width="9.00390625" style="1" bestFit="1" customWidth="1"/>
    <col min="6" max="6" width="9.625" style="1" customWidth="1"/>
    <col min="7" max="7" width="9.00390625" style="1" bestFit="1" customWidth="1"/>
    <col min="8" max="8" width="9.625" style="1" customWidth="1"/>
    <col min="9" max="9" width="9.00390625" style="1" bestFit="1" customWidth="1"/>
    <col min="10" max="10" width="9.625" style="1" customWidth="1"/>
    <col min="11" max="11" width="10.625" style="1" customWidth="1"/>
    <col min="12" max="12" width="8.625" style="1" customWidth="1"/>
    <col min="13" max="13" width="12.50390625" style="1" customWidth="1"/>
    <col min="14" max="16384" width="9.625" style="1" customWidth="1"/>
  </cols>
  <sheetData>
    <row r="1" ht="15.75" customHeight="1">
      <c r="A1" s="46" t="s">
        <v>54</v>
      </c>
    </row>
    <row r="3" spans="2:13" ht="16.5">
      <c r="B3" s="47"/>
      <c r="C3" s="47"/>
      <c r="D3" s="142" t="s">
        <v>34</v>
      </c>
      <c r="E3" s="139"/>
      <c r="F3" s="142" t="s">
        <v>35</v>
      </c>
      <c r="G3" s="139"/>
      <c r="H3" s="142" t="s">
        <v>36</v>
      </c>
      <c r="I3" s="139"/>
      <c r="J3" s="142" t="s">
        <v>37</v>
      </c>
      <c r="K3" s="139"/>
      <c r="L3" s="145" t="s">
        <v>38</v>
      </c>
      <c r="M3" s="145"/>
    </row>
    <row r="5" spans="1:13" ht="12.75">
      <c r="A5" s="7" t="s">
        <v>11</v>
      </c>
      <c r="B5" s="7" t="s">
        <v>12</v>
      </c>
      <c r="C5" s="8" t="s">
        <v>13</v>
      </c>
      <c r="D5" s="8" t="s">
        <v>55</v>
      </c>
      <c r="E5" s="8" t="s">
        <v>14</v>
      </c>
      <c r="F5" s="8" t="s">
        <v>55</v>
      </c>
      <c r="G5" s="8" t="s">
        <v>14</v>
      </c>
      <c r="H5" s="8" t="s">
        <v>55</v>
      </c>
      <c r="I5" s="8" t="s">
        <v>14</v>
      </c>
      <c r="J5" s="8" t="s">
        <v>55</v>
      </c>
      <c r="K5" s="8" t="s">
        <v>14</v>
      </c>
      <c r="L5" s="8" t="s">
        <v>55</v>
      </c>
      <c r="M5" s="8" t="s">
        <v>14</v>
      </c>
    </row>
    <row r="6" ht="13.5" thickBot="1"/>
    <row r="7" spans="1:13" ht="21" customHeight="1">
      <c r="A7" s="114" t="s">
        <v>163</v>
      </c>
      <c r="B7" s="12" t="s">
        <v>16</v>
      </c>
      <c r="C7" s="14">
        <f>'Intro - Prices'!E7</f>
        <v>13.549500000000002</v>
      </c>
      <c r="D7" s="95">
        <v>10</v>
      </c>
      <c r="E7" s="14">
        <f aca="true" t="shared" si="0" ref="E7:E24">C7*D7</f>
        <v>135.495</v>
      </c>
      <c r="F7" s="95">
        <v>16</v>
      </c>
      <c r="G7" s="103">
        <f aca="true" t="shared" si="1" ref="G7:G24">C7*F7</f>
        <v>216.79200000000003</v>
      </c>
      <c r="H7" s="99">
        <v>16</v>
      </c>
      <c r="I7" s="14">
        <f aca="true" t="shared" si="2" ref="I7:I24">C7*H7</f>
        <v>216.79200000000003</v>
      </c>
      <c r="J7" s="95">
        <v>16</v>
      </c>
      <c r="K7" s="103">
        <f aca="true" t="shared" si="3" ref="K7:K24">C7*J7</f>
        <v>216.79200000000003</v>
      </c>
      <c r="L7" s="49"/>
      <c r="M7" s="17"/>
    </row>
    <row r="8" spans="1:13" ht="12.75">
      <c r="A8" s="115" t="s">
        <v>184</v>
      </c>
      <c r="B8" s="19" t="s">
        <v>16</v>
      </c>
      <c r="C8" s="22">
        <f>'Intro - Prices'!E9</f>
        <v>8.358</v>
      </c>
      <c r="D8" s="96">
        <v>18</v>
      </c>
      <c r="E8" s="22">
        <f t="shared" si="0"/>
        <v>150.44400000000002</v>
      </c>
      <c r="F8" s="96">
        <v>16</v>
      </c>
      <c r="G8" s="23">
        <f t="shared" si="1"/>
        <v>133.728</v>
      </c>
      <c r="H8" s="100">
        <v>16</v>
      </c>
      <c r="I8" s="22">
        <f t="shared" si="2"/>
        <v>133.728</v>
      </c>
      <c r="J8" s="96">
        <v>16</v>
      </c>
      <c r="K8" s="23">
        <f t="shared" si="3"/>
        <v>133.728</v>
      </c>
      <c r="L8" s="26"/>
      <c r="M8" s="25"/>
    </row>
    <row r="9" spans="1:13" ht="12.75">
      <c r="A9" s="115" t="s">
        <v>165</v>
      </c>
      <c r="B9" s="19" t="s">
        <v>16</v>
      </c>
      <c r="C9" s="22">
        <f>'Intro - Prices'!E14</f>
        <v>8.83225</v>
      </c>
      <c r="D9" s="96">
        <v>6</v>
      </c>
      <c r="E9" s="22">
        <f t="shared" si="0"/>
        <v>52.9935</v>
      </c>
      <c r="F9" s="96">
        <v>8</v>
      </c>
      <c r="G9" s="23">
        <f t="shared" si="1"/>
        <v>70.658</v>
      </c>
      <c r="H9" s="100">
        <v>8</v>
      </c>
      <c r="I9" s="22">
        <f t="shared" si="2"/>
        <v>70.658</v>
      </c>
      <c r="J9" s="96">
        <v>8</v>
      </c>
      <c r="K9" s="23">
        <f t="shared" si="3"/>
        <v>70.658</v>
      </c>
      <c r="L9" s="26"/>
      <c r="M9" s="25"/>
    </row>
    <row r="10" spans="1:13" ht="12.75">
      <c r="A10" s="115" t="s">
        <v>166</v>
      </c>
      <c r="B10" s="19" t="s">
        <v>16</v>
      </c>
      <c r="C10" s="22">
        <f>'Intro - Prices'!E26</f>
        <v>0.931</v>
      </c>
      <c r="D10" s="96">
        <v>6</v>
      </c>
      <c r="E10" s="22">
        <f t="shared" si="0"/>
        <v>5.586</v>
      </c>
      <c r="F10" s="96">
        <v>8</v>
      </c>
      <c r="G10" s="23">
        <f t="shared" si="1"/>
        <v>7.448</v>
      </c>
      <c r="H10" s="100">
        <v>8</v>
      </c>
      <c r="I10" s="22">
        <f t="shared" si="2"/>
        <v>7.448</v>
      </c>
      <c r="J10" s="96">
        <v>8</v>
      </c>
      <c r="K10" s="23">
        <f t="shared" si="3"/>
        <v>7.448</v>
      </c>
      <c r="L10" s="26"/>
      <c r="M10" s="25"/>
    </row>
    <row r="11" spans="1:13" ht="12.75">
      <c r="A11" s="115" t="s">
        <v>167</v>
      </c>
      <c r="B11" s="19" t="s">
        <v>16</v>
      </c>
      <c r="C11" s="22">
        <f>'Intro - Prices'!E27</f>
        <v>0.6650000000000001</v>
      </c>
      <c r="D11" s="96">
        <v>6</v>
      </c>
      <c r="E11" s="22">
        <f t="shared" si="0"/>
        <v>3.990000000000001</v>
      </c>
      <c r="F11" s="96">
        <v>6</v>
      </c>
      <c r="G11" s="23">
        <f t="shared" si="1"/>
        <v>3.990000000000001</v>
      </c>
      <c r="H11" s="100">
        <v>6</v>
      </c>
      <c r="I11" s="22">
        <f t="shared" si="2"/>
        <v>3.990000000000001</v>
      </c>
      <c r="J11" s="96">
        <v>6</v>
      </c>
      <c r="K11" s="23">
        <f t="shared" si="3"/>
        <v>3.990000000000001</v>
      </c>
      <c r="L11" s="26"/>
      <c r="M11" s="25"/>
    </row>
    <row r="12" spans="1:13" ht="12.75">
      <c r="A12" s="115" t="s">
        <v>168</v>
      </c>
      <c r="B12" s="19" t="s">
        <v>23</v>
      </c>
      <c r="C12" s="94">
        <f>'Intro - Prices'!E28</f>
        <v>0.0603188888888889</v>
      </c>
      <c r="D12" s="96">
        <f>(D9+4)*40</f>
        <v>400</v>
      </c>
      <c r="E12" s="22">
        <f t="shared" si="0"/>
        <v>24.12755555555556</v>
      </c>
      <c r="F12" s="96">
        <f>(F9+4)*40</f>
        <v>480</v>
      </c>
      <c r="G12" s="23">
        <f t="shared" si="1"/>
        <v>28.953066666666672</v>
      </c>
      <c r="H12" s="96">
        <f>(H9+4)*40</f>
        <v>480</v>
      </c>
      <c r="I12" s="22">
        <f t="shared" si="2"/>
        <v>28.953066666666672</v>
      </c>
      <c r="J12" s="96">
        <v>480</v>
      </c>
      <c r="K12" s="23">
        <f t="shared" si="3"/>
        <v>28.953066666666672</v>
      </c>
      <c r="L12" s="26"/>
      <c r="M12" s="25"/>
    </row>
    <row r="13" spans="1:13" ht="12.75">
      <c r="A13" s="115" t="s">
        <v>185</v>
      </c>
      <c r="B13" s="19" t="s">
        <v>23</v>
      </c>
      <c r="C13" s="94">
        <f>'Intro - Prices'!E29</f>
        <v>0.024123225</v>
      </c>
      <c r="D13" s="97">
        <v>4000</v>
      </c>
      <c r="E13" s="22">
        <f t="shared" si="0"/>
        <v>96.4929</v>
      </c>
      <c r="F13" s="97">
        <v>6000</v>
      </c>
      <c r="G13" s="23">
        <f t="shared" si="1"/>
        <v>144.73935</v>
      </c>
      <c r="H13" s="101">
        <v>8000</v>
      </c>
      <c r="I13" s="22">
        <f t="shared" si="2"/>
        <v>192.9858</v>
      </c>
      <c r="J13" s="97">
        <v>10000</v>
      </c>
      <c r="K13" s="23">
        <f t="shared" si="3"/>
        <v>241.23225000000002</v>
      </c>
      <c r="L13" s="26"/>
      <c r="M13" s="25"/>
    </row>
    <row r="14" spans="1:13" ht="12.75">
      <c r="A14" s="115" t="s">
        <v>170</v>
      </c>
      <c r="B14" s="19" t="s">
        <v>16</v>
      </c>
      <c r="C14" s="22">
        <f>'Intro - Prices'!E23</f>
        <v>139.341</v>
      </c>
      <c r="D14" s="96">
        <v>1</v>
      </c>
      <c r="E14" s="22">
        <f>C14*D14</f>
        <v>139.341</v>
      </c>
      <c r="F14" s="96">
        <v>1</v>
      </c>
      <c r="G14" s="23">
        <f>C14*F14</f>
        <v>139.341</v>
      </c>
      <c r="H14" s="100">
        <v>1</v>
      </c>
      <c r="I14" s="22">
        <f>C14*H14</f>
        <v>139.341</v>
      </c>
      <c r="J14" s="96">
        <v>1</v>
      </c>
      <c r="K14" s="23">
        <f>C14*J14</f>
        <v>139.341</v>
      </c>
      <c r="L14" s="26"/>
      <c r="M14" s="25"/>
    </row>
    <row r="15" spans="1:13" ht="12.75">
      <c r="A15" s="115" t="s">
        <v>171</v>
      </c>
      <c r="B15" s="19" t="s">
        <v>16</v>
      </c>
      <c r="C15" s="22">
        <f>'Intro - Prices'!E25</f>
        <v>9.611</v>
      </c>
      <c r="D15" s="96">
        <v>2</v>
      </c>
      <c r="E15" s="22">
        <f>C15*D15</f>
        <v>19.222</v>
      </c>
      <c r="F15" s="96">
        <v>2</v>
      </c>
      <c r="G15" s="23">
        <f>C15*F15</f>
        <v>19.222</v>
      </c>
      <c r="H15" s="100">
        <v>2</v>
      </c>
      <c r="I15" s="22">
        <f>C15*H15</f>
        <v>19.222</v>
      </c>
      <c r="J15" s="96">
        <v>2</v>
      </c>
      <c r="K15" s="23">
        <f>C15*J15</f>
        <v>19.222</v>
      </c>
      <c r="L15" s="26"/>
      <c r="M15" s="25"/>
    </row>
    <row r="16" spans="1:13" ht="12.75">
      <c r="A16" s="115" t="s">
        <v>172</v>
      </c>
      <c r="B16" s="19" t="s">
        <v>16</v>
      </c>
      <c r="C16" s="22">
        <f>'Intro - Prices'!E30</f>
        <v>6.439125000000001</v>
      </c>
      <c r="D16" s="96">
        <v>1</v>
      </c>
      <c r="E16" s="22">
        <f t="shared" si="0"/>
        <v>6.439125000000001</v>
      </c>
      <c r="F16" s="96">
        <v>1</v>
      </c>
      <c r="G16" s="23">
        <f t="shared" si="1"/>
        <v>6.439125000000001</v>
      </c>
      <c r="H16" s="100">
        <v>1</v>
      </c>
      <c r="I16" s="22">
        <f t="shared" si="2"/>
        <v>6.439125000000001</v>
      </c>
      <c r="J16" s="96">
        <v>1</v>
      </c>
      <c r="K16" s="23">
        <f t="shared" si="3"/>
        <v>6.439125000000001</v>
      </c>
      <c r="L16" s="26"/>
      <c r="M16" s="25"/>
    </row>
    <row r="17" spans="1:13" ht="12.75">
      <c r="A17" s="119" t="s">
        <v>173</v>
      </c>
      <c r="B17" s="19" t="s">
        <v>16</v>
      </c>
      <c r="C17" s="22">
        <f>'Intro - Prices'!E31</f>
        <v>3.0975000000000006</v>
      </c>
      <c r="D17" s="96">
        <v>4</v>
      </c>
      <c r="E17" s="22">
        <f t="shared" si="0"/>
        <v>12.390000000000002</v>
      </c>
      <c r="F17" s="96">
        <v>6</v>
      </c>
      <c r="G17" s="23">
        <f t="shared" si="1"/>
        <v>18.585000000000004</v>
      </c>
      <c r="H17" s="100">
        <v>8</v>
      </c>
      <c r="I17" s="22">
        <f t="shared" si="2"/>
        <v>24.780000000000005</v>
      </c>
      <c r="J17" s="96">
        <v>10</v>
      </c>
      <c r="K17" s="23">
        <f t="shared" si="3"/>
        <v>30.975000000000005</v>
      </c>
      <c r="L17" s="26"/>
      <c r="M17" s="25"/>
    </row>
    <row r="18" spans="1:13" ht="12.75">
      <c r="A18" s="115" t="s">
        <v>175</v>
      </c>
      <c r="B18" s="19" t="s">
        <v>16</v>
      </c>
      <c r="C18" s="22">
        <f>'Intro - Prices'!E33</f>
        <v>3.454500000000001</v>
      </c>
      <c r="D18" s="96">
        <v>60</v>
      </c>
      <c r="E18" s="22">
        <f t="shared" si="0"/>
        <v>207.27000000000004</v>
      </c>
      <c r="F18" s="96">
        <v>57</v>
      </c>
      <c r="G18" s="23">
        <f t="shared" si="1"/>
        <v>196.90650000000005</v>
      </c>
      <c r="H18" s="100">
        <v>57</v>
      </c>
      <c r="I18" s="22">
        <f t="shared" si="2"/>
        <v>196.90650000000005</v>
      </c>
      <c r="J18" s="96">
        <v>57</v>
      </c>
      <c r="K18" s="23">
        <f t="shared" si="3"/>
        <v>196.90650000000005</v>
      </c>
      <c r="L18" s="26"/>
      <c r="M18" s="25"/>
    </row>
    <row r="19" spans="1:13" ht="12.75">
      <c r="A19" s="115" t="s">
        <v>176</v>
      </c>
      <c r="B19" s="19" t="s">
        <v>16</v>
      </c>
      <c r="C19" s="22">
        <f>'Intro - Prices'!E34</f>
        <v>0.11812500000000002</v>
      </c>
      <c r="D19" s="96">
        <f>D18*4</f>
        <v>240</v>
      </c>
      <c r="E19" s="22">
        <f t="shared" si="0"/>
        <v>28.350000000000005</v>
      </c>
      <c r="F19" s="96">
        <f>F18*6</f>
        <v>342</v>
      </c>
      <c r="G19" s="23">
        <f t="shared" si="1"/>
        <v>40.39875000000001</v>
      </c>
      <c r="H19" s="100">
        <f>H18*8</f>
        <v>456</v>
      </c>
      <c r="I19" s="22">
        <f t="shared" si="2"/>
        <v>53.86500000000001</v>
      </c>
      <c r="J19" s="96">
        <f>J18*10</f>
        <v>570</v>
      </c>
      <c r="K19" s="23">
        <f t="shared" si="3"/>
        <v>67.33125000000001</v>
      </c>
      <c r="L19" s="26"/>
      <c r="M19" s="25"/>
    </row>
    <row r="20" spans="1:13" ht="12.75">
      <c r="A20" s="119" t="s">
        <v>177</v>
      </c>
      <c r="B20" s="19" t="s">
        <v>16</v>
      </c>
      <c r="C20" s="22">
        <f>'Intro - Prices'!E35</f>
        <v>0.1715</v>
      </c>
      <c r="D20" s="96">
        <v>24</v>
      </c>
      <c r="E20" s="22">
        <f t="shared" si="0"/>
        <v>4.1160000000000005</v>
      </c>
      <c r="F20" s="96">
        <v>36</v>
      </c>
      <c r="G20" s="23">
        <f t="shared" si="1"/>
        <v>6.174</v>
      </c>
      <c r="H20" s="100">
        <v>48</v>
      </c>
      <c r="I20" s="22">
        <f t="shared" si="2"/>
        <v>8.232000000000001</v>
      </c>
      <c r="J20" s="96">
        <v>60</v>
      </c>
      <c r="K20" s="23">
        <f t="shared" si="3"/>
        <v>10.290000000000001</v>
      </c>
      <c r="L20" s="26"/>
      <c r="M20" s="25"/>
    </row>
    <row r="21" spans="1:13" ht="12.75">
      <c r="A21" s="115" t="s">
        <v>178</v>
      </c>
      <c r="B21" s="19" t="s">
        <v>25</v>
      </c>
      <c r="C21" s="22">
        <f>'Intro - Prices'!E38</f>
        <v>2.1515725</v>
      </c>
      <c r="D21" s="96">
        <f>0.0156*(D7+D8)*4*1.01</f>
        <v>1.7646719999999998</v>
      </c>
      <c r="E21" s="22">
        <f t="shared" si="0"/>
        <v>3.7968197467199993</v>
      </c>
      <c r="F21" s="96">
        <f>0.0156*(F7+F8)*6*1.01</f>
        <v>3.025152</v>
      </c>
      <c r="G21" s="23">
        <f t="shared" si="1"/>
        <v>6.5088338515199995</v>
      </c>
      <c r="H21" s="96">
        <f>0.0156*(H7+H8)*8*1.01</f>
        <v>4.033536</v>
      </c>
      <c r="I21" s="22">
        <f t="shared" si="2"/>
        <v>8.678445135359999</v>
      </c>
      <c r="J21" s="96">
        <f>0.0156*(J7+J8)*10*1.01</f>
        <v>5.04192</v>
      </c>
      <c r="K21" s="23">
        <f t="shared" si="3"/>
        <v>10.8480564192</v>
      </c>
      <c r="L21" s="26"/>
      <c r="M21" s="25"/>
    </row>
    <row r="22" spans="1:13" ht="12.75">
      <c r="A22" s="132" t="s">
        <v>214</v>
      </c>
      <c r="B22" s="19" t="s">
        <v>26</v>
      </c>
      <c r="C22" s="22">
        <f>'Intro - Prices'!E40</f>
        <v>95</v>
      </c>
      <c r="D22" s="96">
        <f>((D7*8)+(D8*6))/60</f>
        <v>3.1333333333333333</v>
      </c>
      <c r="E22" s="22">
        <f t="shared" si="0"/>
        <v>297.6666666666667</v>
      </c>
      <c r="F22" s="96">
        <f>((F7*8)+(F8*6))/60</f>
        <v>3.7333333333333334</v>
      </c>
      <c r="G22" s="23">
        <f t="shared" si="1"/>
        <v>354.6666666666667</v>
      </c>
      <c r="H22" s="100">
        <f>((H7*8)+(H8*6))/60</f>
        <v>3.7333333333333334</v>
      </c>
      <c r="I22" s="22">
        <f t="shared" si="2"/>
        <v>354.6666666666667</v>
      </c>
      <c r="J22" s="96">
        <f>((J7*8)+(J8*6))/60</f>
        <v>3.7333333333333334</v>
      </c>
      <c r="K22" s="23">
        <f t="shared" si="3"/>
        <v>354.6666666666667</v>
      </c>
      <c r="L22" s="26"/>
      <c r="M22" s="25"/>
    </row>
    <row r="23" spans="1:13" ht="12.75">
      <c r="A23" s="132" t="s">
        <v>216</v>
      </c>
      <c r="B23" s="19" t="s">
        <v>26</v>
      </c>
      <c r="C23" s="22">
        <f>'Intro - Prices'!E41</f>
        <v>40</v>
      </c>
      <c r="D23" s="96">
        <f>(D9*0.75)+((D7+D8)*4/60)+(D18*2/60)+(D13/1000*0.65)+0.3</f>
        <v>11.266666666666667</v>
      </c>
      <c r="E23" s="22">
        <f t="shared" si="0"/>
        <v>450.6666666666667</v>
      </c>
      <c r="F23" s="96">
        <f>(F9/2*1.25)+((F7+F8)*6/60)+(F18*2/60)+(F13/1000*0.65)+0.3</f>
        <v>14.3</v>
      </c>
      <c r="G23" s="23">
        <f t="shared" si="1"/>
        <v>572</v>
      </c>
      <c r="H23" s="100">
        <f>(H9/2*1.25)+((H7+H8)*8/60)+(H18*2/60)+(H13/1000*0.65)</f>
        <v>16.366666666666667</v>
      </c>
      <c r="I23" s="22">
        <f t="shared" si="2"/>
        <v>654.6666666666667</v>
      </c>
      <c r="J23" s="96">
        <f>(J9/2*1.25)+((J7+J8)*10/60)+(J18*2/60)+(J13/1000*0.65)</f>
        <v>18.733333333333334</v>
      </c>
      <c r="K23" s="23">
        <f t="shared" si="3"/>
        <v>749.3333333333334</v>
      </c>
      <c r="L23" s="26"/>
      <c r="M23" s="25"/>
    </row>
    <row r="24" spans="1:13" ht="12.75">
      <c r="A24" s="116" t="s">
        <v>187</v>
      </c>
      <c r="B24" s="110"/>
      <c r="C24" s="111">
        <f>'Intro - Prices'!E42</f>
        <v>0</v>
      </c>
      <c r="D24" s="98">
        <v>0</v>
      </c>
      <c r="E24" s="108">
        <f t="shared" si="0"/>
        <v>0</v>
      </c>
      <c r="F24" s="98">
        <v>0</v>
      </c>
      <c r="G24" s="109">
        <f t="shared" si="1"/>
        <v>0</v>
      </c>
      <c r="H24" s="112">
        <v>0</v>
      </c>
      <c r="I24" s="108">
        <f t="shared" si="2"/>
        <v>0</v>
      </c>
      <c r="J24" s="98">
        <v>0</v>
      </c>
      <c r="K24" s="109">
        <f t="shared" si="3"/>
        <v>0</v>
      </c>
      <c r="L24" s="26"/>
      <c r="M24" s="25"/>
    </row>
    <row r="25" spans="1:13" ht="12.75">
      <c r="A25" s="28"/>
      <c r="B25" s="26"/>
      <c r="C25" s="20"/>
      <c r="D25" s="29"/>
      <c r="E25" s="23"/>
      <c r="F25" s="21"/>
      <c r="G25" s="23"/>
      <c r="H25" s="29"/>
      <c r="I25" s="22"/>
      <c r="J25" s="21"/>
      <c r="K25" s="23"/>
      <c r="L25" s="26"/>
      <c r="M25" s="50"/>
    </row>
    <row r="26" spans="1:13" ht="12.75">
      <c r="A26" s="106" t="s">
        <v>181</v>
      </c>
      <c r="B26" s="51" t="s">
        <v>41</v>
      </c>
      <c r="C26" s="52"/>
      <c r="D26" s="52"/>
      <c r="E26" s="23">
        <f>SUM(E7:E21)</f>
        <v>890.0539003022755</v>
      </c>
      <c r="F26" s="32"/>
      <c r="G26" s="23">
        <f>SUM(G7:G21)</f>
        <v>1039.8836255181868</v>
      </c>
      <c r="H26" s="22"/>
      <c r="I26" s="22">
        <f>SUM(I7:I21)</f>
        <v>1112.0189368020267</v>
      </c>
      <c r="J26" s="32"/>
      <c r="K26" s="23">
        <f>SUM(K7:K21)</f>
        <v>1184.1542480858668</v>
      </c>
      <c r="L26" s="26"/>
      <c r="M26" s="53"/>
    </row>
    <row r="27" spans="1:13" ht="12.75">
      <c r="A27" s="28"/>
      <c r="B27" s="51" t="s">
        <v>42</v>
      </c>
      <c r="C27" s="52"/>
      <c r="D27" s="52"/>
      <c r="E27" s="34">
        <f>E26/1000</f>
        <v>0.8900539003022755</v>
      </c>
      <c r="F27" s="35"/>
      <c r="G27" s="34">
        <f>G26/1000</f>
        <v>1.039883625518187</v>
      </c>
      <c r="H27" s="54"/>
      <c r="I27" s="54">
        <f>I26/1000</f>
        <v>1.1120189368020268</v>
      </c>
      <c r="J27" s="35"/>
      <c r="K27" s="34">
        <f>K26/1000</f>
        <v>1.184154248085867</v>
      </c>
      <c r="L27" s="26"/>
      <c r="M27" s="55"/>
    </row>
    <row r="28" spans="1:13" ht="12.75">
      <c r="A28" s="28"/>
      <c r="B28" s="52"/>
      <c r="C28" s="52"/>
      <c r="D28" s="52"/>
      <c r="E28" s="23"/>
      <c r="F28" s="32"/>
      <c r="G28" s="23"/>
      <c r="H28" s="22"/>
      <c r="I28" s="22"/>
      <c r="J28" s="32"/>
      <c r="K28" s="23"/>
      <c r="L28" s="26"/>
      <c r="M28" s="50"/>
    </row>
    <row r="29" spans="1:13" ht="12.75">
      <c r="A29" s="28"/>
      <c r="B29" s="52" t="s">
        <v>30</v>
      </c>
      <c r="C29" s="52"/>
      <c r="D29" s="52"/>
      <c r="E29" s="23">
        <f>E22+E23</f>
        <v>748.3333333333334</v>
      </c>
      <c r="F29" s="32"/>
      <c r="G29" s="23">
        <f>G22+G23</f>
        <v>926.6666666666667</v>
      </c>
      <c r="H29" s="22"/>
      <c r="I29" s="22">
        <f>I22+I23</f>
        <v>1009.3333333333335</v>
      </c>
      <c r="J29" s="32"/>
      <c r="K29" s="23">
        <f>K22+K23</f>
        <v>1104</v>
      </c>
      <c r="L29" s="26"/>
      <c r="M29" s="53"/>
    </row>
    <row r="30" spans="1:13" ht="12.75">
      <c r="A30" s="28"/>
      <c r="B30" s="52" t="s">
        <v>31</v>
      </c>
      <c r="C30" s="52"/>
      <c r="D30" s="52"/>
      <c r="E30" s="34">
        <f>E29/1000</f>
        <v>0.7483333333333334</v>
      </c>
      <c r="F30" s="35"/>
      <c r="G30" s="34">
        <f>G29/1000</f>
        <v>0.9266666666666667</v>
      </c>
      <c r="H30" s="54"/>
      <c r="I30" s="54">
        <f>I29/1000</f>
        <v>1.0093333333333334</v>
      </c>
      <c r="J30" s="35"/>
      <c r="K30" s="34">
        <f>K29/1000</f>
        <v>1.104</v>
      </c>
      <c r="L30" s="26"/>
      <c r="M30" s="55"/>
    </row>
    <row r="31" spans="1:13" ht="12.75">
      <c r="A31" s="28"/>
      <c r="B31" s="52"/>
      <c r="C31" s="52"/>
      <c r="D31" s="52"/>
      <c r="E31" s="23"/>
      <c r="F31" s="32"/>
      <c r="G31" s="23"/>
      <c r="H31" s="22"/>
      <c r="I31" s="22"/>
      <c r="J31" s="32"/>
      <c r="K31" s="23"/>
      <c r="L31" s="26"/>
      <c r="M31" s="50"/>
    </row>
    <row r="32" spans="1:13" ht="12.75">
      <c r="A32" s="28"/>
      <c r="B32" s="52" t="s">
        <v>43</v>
      </c>
      <c r="C32" s="52"/>
      <c r="D32" s="52"/>
      <c r="E32" s="23">
        <f>SUM(E5:E25)</f>
        <v>1638.387233635609</v>
      </c>
      <c r="F32" s="32"/>
      <c r="G32" s="23">
        <f>SUM(G5:G25)</f>
        <v>1966.5502921848536</v>
      </c>
      <c r="H32" s="22"/>
      <c r="I32" s="22">
        <f>SUM(I5:I25)</f>
        <v>2121.3522701353604</v>
      </c>
      <c r="J32" s="32"/>
      <c r="K32" s="23">
        <f>SUM(K5:K25)</f>
        <v>2288.154248085867</v>
      </c>
      <c r="L32" s="26"/>
      <c r="M32" s="53"/>
    </row>
    <row r="33" spans="1:13" ht="13.5" thickBot="1">
      <c r="A33" s="37"/>
      <c r="B33" s="56" t="s">
        <v>44</v>
      </c>
      <c r="C33" s="56"/>
      <c r="D33" s="56"/>
      <c r="E33" s="86">
        <f>E32/1000</f>
        <v>1.638387233635609</v>
      </c>
      <c r="F33" s="75"/>
      <c r="G33" s="86">
        <f>G32/1000</f>
        <v>1.9665502921848537</v>
      </c>
      <c r="H33" s="57"/>
      <c r="I33" s="57">
        <f>I32/1000</f>
        <v>2.12135227013536</v>
      </c>
      <c r="J33" s="75"/>
      <c r="K33" s="86">
        <f>K32/1000</f>
        <v>2.288154248085867</v>
      </c>
      <c r="L33" s="58"/>
      <c r="M33" s="59"/>
    </row>
    <row r="34" spans="3:11" ht="12.75">
      <c r="C34" s="60"/>
      <c r="D34" s="60"/>
      <c r="E34" s="61"/>
      <c r="F34" s="61"/>
      <c r="G34" s="61"/>
      <c r="H34" s="61"/>
      <c r="I34" s="61"/>
      <c r="J34" s="61"/>
      <c r="K34" s="61"/>
    </row>
    <row r="35" spans="1:12" ht="15">
      <c r="A35" s="81" t="s">
        <v>61</v>
      </c>
      <c r="B35" s="76"/>
      <c r="C35" s="26"/>
      <c r="D35" s="80" t="s">
        <v>70</v>
      </c>
      <c r="E35" s="77"/>
      <c r="F35" s="26"/>
      <c r="G35" s="26"/>
      <c r="H35" s="26"/>
      <c r="I35" s="52" t="s">
        <v>76</v>
      </c>
      <c r="J35" s="26"/>
      <c r="K35" s="26"/>
      <c r="L35" s="26"/>
    </row>
    <row r="36" spans="1:12" ht="12.75">
      <c r="A36" s="26" t="s">
        <v>62</v>
      </c>
      <c r="B36" s="26"/>
      <c r="C36" s="78"/>
      <c r="D36" s="26" t="s">
        <v>75</v>
      </c>
      <c r="E36" s="77"/>
      <c r="F36" s="26"/>
      <c r="G36" s="79"/>
      <c r="H36" s="26"/>
      <c r="I36" s="26" t="s">
        <v>86</v>
      </c>
      <c r="J36" s="26"/>
      <c r="K36" s="26"/>
      <c r="L36" s="26"/>
    </row>
    <row r="37" spans="1:12" ht="12.75">
      <c r="A37" s="26" t="s">
        <v>83</v>
      </c>
      <c r="B37" s="26"/>
      <c r="C37" s="78"/>
      <c r="D37" s="26" t="s">
        <v>82</v>
      </c>
      <c r="E37" s="26"/>
      <c r="F37" s="26"/>
      <c r="G37" s="26"/>
      <c r="H37" s="26"/>
      <c r="I37" s="26" t="s">
        <v>87</v>
      </c>
      <c r="J37" s="26"/>
      <c r="K37" s="26"/>
      <c r="L37" s="26"/>
    </row>
    <row r="38" spans="1:12" ht="12.75">
      <c r="A38" s="26" t="s">
        <v>159</v>
      </c>
      <c r="B38" s="26"/>
      <c r="C38" s="26"/>
      <c r="D38" s="26" t="s">
        <v>71</v>
      </c>
      <c r="E38" s="26"/>
      <c r="F38" s="26"/>
      <c r="G38" s="26"/>
      <c r="H38" s="26"/>
      <c r="I38" s="26" t="s">
        <v>88</v>
      </c>
      <c r="J38" s="26"/>
      <c r="K38" s="26"/>
      <c r="L38" s="26"/>
    </row>
    <row r="39" spans="1:12" ht="12.75">
      <c r="A39" s="26" t="s">
        <v>64</v>
      </c>
      <c r="B39" s="26"/>
      <c r="C39" s="26"/>
      <c r="D39" s="26" t="s">
        <v>72</v>
      </c>
      <c r="E39" s="26"/>
      <c r="F39" s="30"/>
      <c r="G39" s="26"/>
      <c r="H39" s="26"/>
      <c r="I39" s="26" t="s">
        <v>89</v>
      </c>
      <c r="J39" s="26"/>
      <c r="K39" s="26"/>
      <c r="L39" s="26"/>
    </row>
    <row r="40" spans="1:12" ht="12.75">
      <c r="A40" s="26" t="s">
        <v>65</v>
      </c>
      <c r="B40" s="26"/>
      <c r="C40" s="26"/>
      <c r="D40" s="26" t="s">
        <v>160</v>
      </c>
      <c r="E40" s="26"/>
      <c r="F40" s="19"/>
      <c r="G40" s="26"/>
      <c r="H40" s="26"/>
      <c r="I40" s="26"/>
      <c r="J40" s="26"/>
      <c r="K40" s="26"/>
      <c r="L40" s="26"/>
    </row>
    <row r="41" spans="1:12" ht="12.75">
      <c r="A41" s="26" t="s">
        <v>84</v>
      </c>
      <c r="B41" s="26"/>
      <c r="C41" s="26"/>
      <c r="E41" s="26"/>
      <c r="F41" s="19"/>
      <c r="G41" s="26"/>
      <c r="H41" s="26"/>
      <c r="I41" s="26"/>
      <c r="J41" s="26"/>
      <c r="K41" s="26"/>
      <c r="L41" s="26"/>
    </row>
    <row r="42" spans="1:12" ht="12.75">
      <c r="A42" s="26" t="s">
        <v>85</v>
      </c>
      <c r="B42" s="26"/>
      <c r="C42" s="26"/>
      <c r="D42" s="26"/>
      <c r="E42" s="26"/>
      <c r="F42" s="19"/>
      <c r="G42" s="26"/>
      <c r="H42" s="26"/>
      <c r="I42" s="26"/>
      <c r="J42" s="26"/>
      <c r="K42" s="26"/>
      <c r="L42" s="26"/>
    </row>
    <row r="43" spans="1:12" ht="12.75">
      <c r="A43" s="19" t="s">
        <v>68</v>
      </c>
      <c r="B43" s="26"/>
      <c r="C43" s="26"/>
      <c r="D43" s="26"/>
      <c r="E43" s="26"/>
      <c r="F43" s="30"/>
      <c r="G43" s="26"/>
      <c r="H43" s="26"/>
      <c r="I43" s="26"/>
      <c r="J43" s="26"/>
      <c r="K43" s="26"/>
      <c r="L43" s="26"/>
    </row>
    <row r="44" spans="1:11" ht="12.75">
      <c r="A44" s="44"/>
      <c r="C44" s="147"/>
      <c r="D44" s="147"/>
      <c r="E44" s="147"/>
      <c r="F44" s="147"/>
      <c r="G44" s="62"/>
      <c r="H44" s="62"/>
      <c r="I44" s="62"/>
      <c r="J44" s="62"/>
      <c r="K44" s="62"/>
    </row>
    <row r="45" spans="1:6" ht="12.75">
      <c r="A45" s="133" t="s">
        <v>220</v>
      </c>
      <c r="C45" s="30"/>
      <c r="D45" s="30"/>
      <c r="E45" s="30"/>
      <c r="F45" s="30"/>
    </row>
    <row r="46" spans="1:6" ht="12.75">
      <c r="A46" s="133" t="s">
        <v>219</v>
      </c>
      <c r="C46" s="64"/>
      <c r="D46" s="63"/>
      <c r="E46" s="65"/>
      <c r="F46" s="66"/>
    </row>
    <row r="47" spans="3:6" ht="12.75">
      <c r="C47" s="147"/>
      <c r="D47" s="147"/>
      <c r="E47" s="147"/>
      <c r="F47" s="147"/>
    </row>
    <row r="48" spans="3:6" ht="12.75">
      <c r="C48" s="147"/>
      <c r="D48" s="147"/>
      <c r="E48" s="147"/>
      <c r="F48" s="147"/>
    </row>
    <row r="49" spans="1:6" ht="12.75">
      <c r="A49" s="44"/>
      <c r="F49" s="44"/>
    </row>
    <row r="50" ht="12.75">
      <c r="A50" s="44"/>
    </row>
    <row r="104" ht="12.75">
      <c r="A104" s="44"/>
    </row>
  </sheetData>
  <sheetProtection/>
  <mergeCells count="8">
    <mergeCell ref="C47:F47"/>
    <mergeCell ref="C48:F48"/>
    <mergeCell ref="L3:M3"/>
    <mergeCell ref="C44:F44"/>
    <mergeCell ref="D3:E3"/>
    <mergeCell ref="F3:G3"/>
    <mergeCell ref="H3:I3"/>
    <mergeCell ref="J3:K3"/>
  </mergeCells>
  <printOptions/>
  <pageMargins left="0.75" right="0.75" top="1" bottom="1" header="0.5" footer="0.5"/>
  <pageSetup fitToHeight="1" fitToWidth="1" horizontalDpi="600" verticalDpi="600" orientation="landscape" scale="80" r:id="rId1"/>
  <ignoredErrors>
    <ignoredError sqref="C24" unlockedFormula="1"/>
    <ignoredError sqref="E12 E22 G12 I22:I23 G22 I12"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32">
      <selection activeCell="A46" sqref="A46:A47"/>
    </sheetView>
  </sheetViews>
  <sheetFormatPr defaultColWidth="9.625" defaultRowHeight="12.75"/>
  <cols>
    <col min="1" max="1" width="30.625" style="1" customWidth="1"/>
    <col min="2" max="2" width="8.625" style="1" customWidth="1"/>
    <col min="3" max="3" width="9.00390625" style="1" customWidth="1"/>
    <col min="4" max="4" width="13.625" style="1" customWidth="1"/>
    <col min="5" max="5" width="10.625" style="1" customWidth="1"/>
    <col min="6" max="6" width="9.125" style="1" customWidth="1"/>
    <col min="7" max="7" width="10.875" style="1" customWidth="1"/>
    <col min="8" max="8" width="9.625" style="1" customWidth="1"/>
    <col min="9" max="9" width="10.125" style="1" customWidth="1"/>
    <col min="10" max="10" width="9.625" style="1" customWidth="1"/>
    <col min="11" max="11" width="9.375" style="1" customWidth="1"/>
    <col min="12" max="12" width="9.625" style="1" customWidth="1"/>
    <col min="13" max="13" width="10.375" style="1" customWidth="1"/>
    <col min="14" max="16384" width="9.625" style="1" customWidth="1"/>
  </cols>
  <sheetData>
    <row r="1" ht="18.75" customHeight="1">
      <c r="A1" s="69" t="s">
        <v>56</v>
      </c>
    </row>
    <row r="2" spans="2:13" ht="16.5">
      <c r="B2" s="47"/>
      <c r="D2" s="67" t="s">
        <v>45</v>
      </c>
      <c r="E2" s="67"/>
      <c r="F2" s="67" t="s">
        <v>46</v>
      </c>
      <c r="G2" s="67"/>
      <c r="H2" s="67" t="s">
        <v>47</v>
      </c>
      <c r="I2" s="67"/>
      <c r="J2" s="67" t="s">
        <v>48</v>
      </c>
      <c r="K2" s="67"/>
      <c r="L2" s="5" t="s">
        <v>38</v>
      </c>
      <c r="M2" s="5"/>
    </row>
    <row r="4" spans="1:13" ht="12.75">
      <c r="A4" s="7" t="s">
        <v>11</v>
      </c>
      <c r="B4" s="7" t="s">
        <v>12</v>
      </c>
      <c r="C4" s="8" t="s">
        <v>13</v>
      </c>
      <c r="D4" s="8" t="s">
        <v>55</v>
      </c>
      <c r="E4" s="8" t="s">
        <v>14</v>
      </c>
      <c r="F4" s="8" t="s">
        <v>55</v>
      </c>
      <c r="G4" s="8" t="s">
        <v>14</v>
      </c>
      <c r="H4" s="8" t="s">
        <v>55</v>
      </c>
      <c r="I4" s="8" t="s">
        <v>14</v>
      </c>
      <c r="J4" s="8" t="s">
        <v>55</v>
      </c>
      <c r="K4" s="8" t="s">
        <v>14</v>
      </c>
      <c r="L4" s="8" t="s">
        <v>55</v>
      </c>
      <c r="M4" s="8" t="s">
        <v>14</v>
      </c>
    </row>
    <row r="5" spans="6:11" ht="13.5" thickBot="1">
      <c r="F5" s="58"/>
      <c r="G5" s="58"/>
      <c r="J5" s="58"/>
      <c r="K5" s="58"/>
    </row>
    <row r="6" spans="1:13" ht="21" customHeight="1">
      <c r="A6" s="114" t="s">
        <v>163</v>
      </c>
      <c r="B6" s="12" t="s">
        <v>16</v>
      </c>
      <c r="C6" s="14">
        <f>'Intro - Prices'!E7</f>
        <v>13.549500000000002</v>
      </c>
      <c r="D6" s="95">
        <v>4</v>
      </c>
      <c r="E6" s="14">
        <f aca="true" t="shared" si="0" ref="E6:E24">C6*D6</f>
        <v>54.19800000000001</v>
      </c>
      <c r="F6" s="96">
        <v>4</v>
      </c>
      <c r="G6" s="23">
        <f aca="true" t="shared" si="1" ref="G6:G24">C6*F6</f>
        <v>54.19800000000001</v>
      </c>
      <c r="H6" s="99">
        <v>10</v>
      </c>
      <c r="I6" s="14">
        <f aca="true" t="shared" si="2" ref="I6:I24">C6*H6</f>
        <v>135.495</v>
      </c>
      <c r="J6" s="96">
        <v>10</v>
      </c>
      <c r="K6" s="23">
        <f aca="true" t="shared" si="3" ref="K6:K24">C6*J6</f>
        <v>135.495</v>
      </c>
      <c r="L6" s="49"/>
      <c r="M6" s="68"/>
    </row>
    <row r="7" spans="1:13" ht="12.75">
      <c r="A7" s="115" t="s">
        <v>164</v>
      </c>
      <c r="B7" s="19" t="s">
        <v>16</v>
      </c>
      <c r="C7" s="22">
        <f>'Intro - Prices'!E9</f>
        <v>8.358</v>
      </c>
      <c r="D7" s="96">
        <v>7</v>
      </c>
      <c r="E7" s="22">
        <f t="shared" si="0"/>
        <v>58.506</v>
      </c>
      <c r="F7" s="96">
        <v>7</v>
      </c>
      <c r="G7" s="23">
        <f t="shared" si="1"/>
        <v>58.506</v>
      </c>
      <c r="H7" s="100">
        <v>4</v>
      </c>
      <c r="I7" s="22">
        <f t="shared" si="2"/>
        <v>33.432</v>
      </c>
      <c r="J7" s="96">
        <v>4</v>
      </c>
      <c r="K7" s="23">
        <f t="shared" si="3"/>
        <v>33.432</v>
      </c>
      <c r="L7" s="26"/>
      <c r="M7" s="53"/>
    </row>
    <row r="8" spans="1:13" ht="12.75">
      <c r="A8" s="115" t="s">
        <v>165</v>
      </c>
      <c r="B8" s="19" t="s">
        <v>16</v>
      </c>
      <c r="C8" s="22">
        <f>'Intro - Prices'!E14</f>
        <v>8.83225</v>
      </c>
      <c r="D8" s="96">
        <v>0</v>
      </c>
      <c r="E8" s="22">
        <f t="shared" si="0"/>
        <v>0</v>
      </c>
      <c r="F8" s="96">
        <v>0</v>
      </c>
      <c r="G8" s="23">
        <f t="shared" si="1"/>
        <v>0</v>
      </c>
      <c r="H8" s="100">
        <v>6</v>
      </c>
      <c r="I8" s="22">
        <f t="shared" si="2"/>
        <v>52.9935</v>
      </c>
      <c r="J8" s="96">
        <v>6</v>
      </c>
      <c r="K8" s="23">
        <f t="shared" si="3"/>
        <v>52.9935</v>
      </c>
      <c r="L8" s="26"/>
      <c r="M8" s="53"/>
    </row>
    <row r="9" spans="1:13" ht="12.75">
      <c r="A9" s="115" t="s">
        <v>166</v>
      </c>
      <c r="B9" s="19" t="s">
        <v>16</v>
      </c>
      <c r="C9" s="22">
        <f>'Intro - Prices'!E26</f>
        <v>0.931</v>
      </c>
      <c r="D9" s="96">
        <v>0</v>
      </c>
      <c r="E9" s="22">
        <f t="shared" si="0"/>
        <v>0</v>
      </c>
      <c r="F9" s="96">
        <v>0</v>
      </c>
      <c r="G9" s="23">
        <f t="shared" si="1"/>
        <v>0</v>
      </c>
      <c r="H9" s="100">
        <v>6</v>
      </c>
      <c r="I9" s="22">
        <f t="shared" si="2"/>
        <v>5.586</v>
      </c>
      <c r="J9" s="96">
        <v>6</v>
      </c>
      <c r="K9" s="23">
        <f t="shared" si="3"/>
        <v>5.586</v>
      </c>
      <c r="L9" s="26"/>
      <c r="M9" s="53"/>
    </row>
    <row r="10" spans="1:13" ht="12.75">
      <c r="A10" s="115" t="s">
        <v>167</v>
      </c>
      <c r="B10" s="19" t="s">
        <v>16</v>
      </c>
      <c r="C10" s="22">
        <f>'Intro - Prices'!E27</f>
        <v>0.6650000000000001</v>
      </c>
      <c r="D10" s="96">
        <v>0</v>
      </c>
      <c r="E10" s="22">
        <f t="shared" si="0"/>
        <v>0</v>
      </c>
      <c r="F10" s="96">
        <v>0</v>
      </c>
      <c r="G10" s="23">
        <f t="shared" si="1"/>
        <v>0</v>
      </c>
      <c r="H10" s="100">
        <v>6</v>
      </c>
      <c r="I10" s="22">
        <f t="shared" si="2"/>
        <v>3.990000000000001</v>
      </c>
      <c r="J10" s="96">
        <v>6</v>
      </c>
      <c r="K10" s="23">
        <f t="shared" si="3"/>
        <v>3.990000000000001</v>
      </c>
      <c r="L10" s="26"/>
      <c r="M10" s="53"/>
    </row>
    <row r="11" spans="1:13" ht="12.75">
      <c r="A11" s="115" t="s">
        <v>168</v>
      </c>
      <c r="B11" s="19" t="s">
        <v>23</v>
      </c>
      <c r="C11" s="94">
        <f>'Intro - Prices'!E28</f>
        <v>0.0603188888888889</v>
      </c>
      <c r="D11" s="96">
        <f>D8*40</f>
        <v>0</v>
      </c>
      <c r="E11" s="22">
        <f t="shared" si="0"/>
        <v>0</v>
      </c>
      <c r="F11" s="96">
        <v>0</v>
      </c>
      <c r="G11" s="23">
        <f t="shared" si="1"/>
        <v>0</v>
      </c>
      <c r="H11" s="100">
        <f>40*H8</f>
        <v>240</v>
      </c>
      <c r="I11" s="22">
        <f t="shared" si="2"/>
        <v>14.476533333333336</v>
      </c>
      <c r="J11" s="96">
        <f>40*J8</f>
        <v>240</v>
      </c>
      <c r="K11" s="23">
        <f t="shared" si="3"/>
        <v>14.476533333333336</v>
      </c>
      <c r="L11" s="26"/>
      <c r="M11" s="53"/>
    </row>
    <row r="12" spans="1:13" ht="12.75">
      <c r="A12" s="115" t="s">
        <v>185</v>
      </c>
      <c r="B12" s="19" t="s">
        <v>23</v>
      </c>
      <c r="C12" s="94">
        <f>'Intro - Prices'!E29</f>
        <v>0.024123225</v>
      </c>
      <c r="D12" s="97">
        <v>1000</v>
      </c>
      <c r="E12" s="22">
        <f t="shared" si="0"/>
        <v>24.123225</v>
      </c>
      <c r="F12" s="97">
        <f>2*D12</f>
        <v>2000</v>
      </c>
      <c r="G12" s="23">
        <f t="shared" si="1"/>
        <v>48.24645</v>
      </c>
      <c r="H12" s="101">
        <f>3*D12</f>
        <v>3000</v>
      </c>
      <c r="I12" s="22">
        <f t="shared" si="2"/>
        <v>72.369675</v>
      </c>
      <c r="J12" s="97">
        <f>5*D12</f>
        <v>5000</v>
      </c>
      <c r="K12" s="23">
        <f t="shared" si="3"/>
        <v>120.61612500000001</v>
      </c>
      <c r="L12" s="26"/>
      <c r="M12" s="53"/>
    </row>
    <row r="13" spans="1:13" ht="12.75">
      <c r="A13" s="115" t="s">
        <v>170</v>
      </c>
      <c r="B13" s="19" t="s">
        <v>16</v>
      </c>
      <c r="C13" s="22">
        <f>'Intro - Prices'!E23</f>
        <v>139.341</v>
      </c>
      <c r="D13" s="96">
        <v>1</v>
      </c>
      <c r="E13" s="22">
        <f>C13*D13</f>
        <v>139.341</v>
      </c>
      <c r="F13" s="96">
        <v>1</v>
      </c>
      <c r="G13" s="23">
        <f>C13*F13</f>
        <v>139.341</v>
      </c>
      <c r="H13" s="100">
        <v>1</v>
      </c>
      <c r="I13" s="22">
        <f>C13*H13</f>
        <v>139.341</v>
      </c>
      <c r="J13" s="96">
        <v>1</v>
      </c>
      <c r="K13" s="23">
        <f>C13*J13</f>
        <v>139.341</v>
      </c>
      <c r="L13" s="26"/>
      <c r="M13" s="53"/>
    </row>
    <row r="14" spans="1:13" ht="12.75">
      <c r="A14" s="115" t="s">
        <v>171</v>
      </c>
      <c r="B14" s="19" t="s">
        <v>16</v>
      </c>
      <c r="C14" s="22">
        <f>'Intro - Prices'!E25</f>
        <v>9.611</v>
      </c>
      <c r="D14" s="96">
        <v>2</v>
      </c>
      <c r="E14" s="22">
        <f>C14*D14</f>
        <v>19.222</v>
      </c>
      <c r="F14" s="96">
        <v>2</v>
      </c>
      <c r="G14" s="23">
        <f>C14*F14</f>
        <v>19.222</v>
      </c>
      <c r="H14" s="100">
        <v>2</v>
      </c>
      <c r="I14" s="22">
        <f>C14*H14</f>
        <v>19.222</v>
      </c>
      <c r="J14" s="96">
        <v>2</v>
      </c>
      <c r="K14" s="23">
        <f>C14*J14</f>
        <v>19.222</v>
      </c>
      <c r="L14" s="26"/>
      <c r="M14" s="53"/>
    </row>
    <row r="15" spans="1:13" ht="12.75">
      <c r="A15" s="115" t="s">
        <v>172</v>
      </c>
      <c r="B15" s="19" t="s">
        <v>16</v>
      </c>
      <c r="C15" s="22">
        <f>'Intro - Prices'!E30</f>
        <v>6.439125000000001</v>
      </c>
      <c r="D15" s="96">
        <v>1</v>
      </c>
      <c r="E15" s="22">
        <f t="shared" si="0"/>
        <v>6.439125000000001</v>
      </c>
      <c r="F15" s="96">
        <v>1</v>
      </c>
      <c r="G15" s="23">
        <f t="shared" si="1"/>
        <v>6.439125000000001</v>
      </c>
      <c r="H15" s="100">
        <v>1</v>
      </c>
      <c r="I15" s="22">
        <f t="shared" si="2"/>
        <v>6.439125000000001</v>
      </c>
      <c r="J15" s="96">
        <v>1</v>
      </c>
      <c r="K15" s="23">
        <f t="shared" si="3"/>
        <v>6.439125000000001</v>
      </c>
      <c r="L15" s="26"/>
      <c r="M15" s="53"/>
    </row>
    <row r="16" spans="1:13" ht="12.75">
      <c r="A16" s="115" t="s">
        <v>173</v>
      </c>
      <c r="B16" s="19" t="s">
        <v>16</v>
      </c>
      <c r="C16" s="22">
        <f>'Intro - Prices'!E31</f>
        <v>3.0975000000000006</v>
      </c>
      <c r="D16" s="96">
        <v>1</v>
      </c>
      <c r="E16" s="22">
        <f t="shared" si="0"/>
        <v>3.0975000000000006</v>
      </c>
      <c r="F16" s="96">
        <v>2</v>
      </c>
      <c r="G16" s="23">
        <f t="shared" si="1"/>
        <v>6.195000000000001</v>
      </c>
      <c r="H16" s="100">
        <v>3</v>
      </c>
      <c r="I16" s="22">
        <f t="shared" si="2"/>
        <v>9.292500000000002</v>
      </c>
      <c r="J16" s="96">
        <v>5</v>
      </c>
      <c r="K16" s="23">
        <f t="shared" si="3"/>
        <v>15.487500000000002</v>
      </c>
      <c r="L16" s="26"/>
      <c r="M16" s="53"/>
    </row>
    <row r="17" spans="1:13" ht="12.75">
      <c r="A17" s="115" t="s">
        <v>175</v>
      </c>
      <c r="B17" s="19" t="s">
        <v>16</v>
      </c>
      <c r="C17" s="22">
        <f>'Intro - Prices'!E33</f>
        <v>3.454500000000001</v>
      </c>
      <c r="D17" s="96">
        <v>0</v>
      </c>
      <c r="E17" s="22">
        <f t="shared" si="0"/>
        <v>0</v>
      </c>
      <c r="F17" s="96">
        <v>8</v>
      </c>
      <c r="G17" s="23">
        <f t="shared" si="1"/>
        <v>27.636000000000006</v>
      </c>
      <c r="H17" s="100">
        <v>15</v>
      </c>
      <c r="I17" s="22">
        <f t="shared" si="2"/>
        <v>51.81750000000001</v>
      </c>
      <c r="J17" s="96">
        <v>15</v>
      </c>
      <c r="K17" s="23">
        <f t="shared" si="3"/>
        <v>51.81750000000001</v>
      </c>
      <c r="L17" s="26"/>
      <c r="M17" s="53"/>
    </row>
    <row r="18" spans="1:13" ht="12.75">
      <c r="A18" s="115" t="s">
        <v>176</v>
      </c>
      <c r="B18" s="19" t="s">
        <v>16</v>
      </c>
      <c r="C18" s="22">
        <f>'Intro - Prices'!E34</f>
        <v>0.11812500000000002</v>
      </c>
      <c r="D18" s="96">
        <v>0</v>
      </c>
      <c r="E18" s="22">
        <f t="shared" si="0"/>
        <v>0</v>
      </c>
      <c r="F18" s="96">
        <f>F17*2</f>
        <v>16</v>
      </c>
      <c r="G18" s="23">
        <f t="shared" si="1"/>
        <v>1.8900000000000003</v>
      </c>
      <c r="H18" s="100">
        <f>H17*3</f>
        <v>45</v>
      </c>
      <c r="I18" s="22">
        <f t="shared" si="2"/>
        <v>5.315625000000001</v>
      </c>
      <c r="J18" s="96">
        <f>J17*5</f>
        <v>75</v>
      </c>
      <c r="K18" s="23">
        <f t="shared" si="3"/>
        <v>8.859375000000002</v>
      </c>
      <c r="L18" s="26"/>
      <c r="M18" s="53"/>
    </row>
    <row r="19" spans="1:13" ht="12.75">
      <c r="A19" s="115" t="s">
        <v>177</v>
      </c>
      <c r="B19" s="19" t="s">
        <v>16</v>
      </c>
      <c r="C19" s="22">
        <f>'Intro - Prices'!E35</f>
        <v>0.1715</v>
      </c>
      <c r="D19" s="96">
        <v>6</v>
      </c>
      <c r="E19" s="22">
        <f t="shared" si="0"/>
        <v>1.0290000000000001</v>
      </c>
      <c r="F19" s="96">
        <v>12</v>
      </c>
      <c r="G19" s="23">
        <f t="shared" si="1"/>
        <v>2.0580000000000003</v>
      </c>
      <c r="H19" s="100">
        <v>18</v>
      </c>
      <c r="I19" s="22">
        <f t="shared" si="2"/>
        <v>3.087</v>
      </c>
      <c r="J19" s="96">
        <v>30</v>
      </c>
      <c r="K19" s="23">
        <f t="shared" si="3"/>
        <v>5.1450000000000005</v>
      </c>
      <c r="L19" s="26"/>
      <c r="M19" s="53"/>
    </row>
    <row r="20" spans="1:13" ht="12.75">
      <c r="A20" s="115" t="s">
        <v>178</v>
      </c>
      <c r="B20" s="19" t="s">
        <v>25</v>
      </c>
      <c r="C20" s="22">
        <v>1.49</v>
      </c>
      <c r="D20" s="96">
        <f>D22*3/64</f>
        <v>0.1875</v>
      </c>
      <c r="E20" s="22">
        <f t="shared" si="0"/>
        <v>0.279375</v>
      </c>
      <c r="F20" s="96">
        <f>F22*3/64</f>
        <v>0.375</v>
      </c>
      <c r="G20" s="23">
        <f t="shared" si="1"/>
        <v>0.55875</v>
      </c>
      <c r="H20" s="96">
        <f>H22*3/64</f>
        <v>0.5625</v>
      </c>
      <c r="I20" s="22">
        <f t="shared" si="2"/>
        <v>0.838125</v>
      </c>
      <c r="J20" s="96">
        <f>J22*3/64</f>
        <v>0.9375</v>
      </c>
      <c r="K20" s="23">
        <f t="shared" si="3"/>
        <v>1.396875</v>
      </c>
      <c r="L20" s="26"/>
      <c r="M20" s="53"/>
    </row>
    <row r="21" spans="1:13" ht="12.75">
      <c r="A21" s="115" t="s">
        <v>179</v>
      </c>
      <c r="B21" s="19" t="s">
        <v>16</v>
      </c>
      <c r="C21" s="22">
        <f>'Intro - Prices'!E36</f>
        <v>0.372645</v>
      </c>
      <c r="D21" s="96">
        <f>D6+D7-4</f>
        <v>7</v>
      </c>
      <c r="E21" s="22">
        <f t="shared" si="0"/>
        <v>2.608515</v>
      </c>
      <c r="F21" s="96">
        <f>(F6+F7-4)*2</f>
        <v>14</v>
      </c>
      <c r="G21" s="23">
        <f t="shared" si="1"/>
        <v>5.21703</v>
      </c>
      <c r="H21" s="100">
        <f>(H6+H7-4)*3</f>
        <v>30</v>
      </c>
      <c r="I21" s="22">
        <f t="shared" si="2"/>
        <v>11.17935</v>
      </c>
      <c r="J21" s="96">
        <f>(J6+J7-4)*5</f>
        <v>50</v>
      </c>
      <c r="K21" s="23">
        <f t="shared" si="3"/>
        <v>18.63225</v>
      </c>
      <c r="L21" s="26"/>
      <c r="M21" s="53"/>
    </row>
    <row r="22" spans="1:13" ht="12.75">
      <c r="A22" s="115" t="s">
        <v>180</v>
      </c>
      <c r="B22" s="19" t="s">
        <v>16</v>
      </c>
      <c r="C22" s="22">
        <f>'Intro - Prices'!E37</f>
        <v>0.866145</v>
      </c>
      <c r="D22" s="96">
        <v>4</v>
      </c>
      <c r="E22" s="22">
        <f t="shared" si="0"/>
        <v>3.46458</v>
      </c>
      <c r="F22" s="96">
        <v>8</v>
      </c>
      <c r="G22" s="23">
        <f t="shared" si="1"/>
        <v>6.92916</v>
      </c>
      <c r="H22" s="100">
        <v>12</v>
      </c>
      <c r="I22" s="22">
        <f t="shared" si="2"/>
        <v>10.393740000000001</v>
      </c>
      <c r="J22" s="96">
        <v>20</v>
      </c>
      <c r="K22" s="23">
        <f t="shared" si="3"/>
        <v>17.3229</v>
      </c>
      <c r="L22" s="26"/>
      <c r="M22" s="53"/>
    </row>
    <row r="23" spans="1:13" ht="12.75">
      <c r="A23" s="132" t="s">
        <v>214</v>
      </c>
      <c r="B23" s="19" t="s">
        <v>26</v>
      </c>
      <c r="C23" s="22">
        <f>'Intro - Prices'!E40</f>
        <v>95</v>
      </c>
      <c r="D23" s="96">
        <f>((D6*8)+(D7*6))/60</f>
        <v>1.2333333333333334</v>
      </c>
      <c r="E23" s="22">
        <f t="shared" si="0"/>
        <v>117.16666666666667</v>
      </c>
      <c r="F23" s="96">
        <f>D23</f>
        <v>1.2333333333333334</v>
      </c>
      <c r="G23" s="23">
        <f t="shared" si="1"/>
        <v>117.16666666666667</v>
      </c>
      <c r="H23" s="100">
        <f>((H6*8)+(H7*6))/60</f>
        <v>1.7333333333333334</v>
      </c>
      <c r="I23" s="22">
        <f t="shared" si="2"/>
        <v>164.66666666666669</v>
      </c>
      <c r="J23" s="96">
        <f>((J6*8)+(J7*6))/60</f>
        <v>1.7333333333333334</v>
      </c>
      <c r="K23" s="23">
        <f t="shared" si="3"/>
        <v>164.66666666666669</v>
      </c>
      <c r="L23" s="26"/>
      <c r="M23" s="53"/>
    </row>
    <row r="24" spans="1:13" ht="12.75">
      <c r="A24" s="132" t="s">
        <v>216</v>
      </c>
      <c r="B24" s="104" t="s">
        <v>26</v>
      </c>
      <c r="C24" s="108">
        <f>'Intro - Prices'!E41</f>
        <v>40</v>
      </c>
      <c r="D24" s="98">
        <f>(D8*0.75)+((D6+D7)*1/60)+(D17*2/60)+(D12/1000*0.65)+0.3+2</f>
        <v>3.1333333333333333</v>
      </c>
      <c r="E24" s="108">
        <f t="shared" si="0"/>
        <v>125.33333333333333</v>
      </c>
      <c r="F24" s="98">
        <f>(F8*0.75)+((F6+F7)*2/60)+(F17*2/60)+(F12/1000*0.65)+0.3+2</f>
        <v>4.233333333333333</v>
      </c>
      <c r="G24" s="109">
        <f t="shared" si="1"/>
        <v>169.33333333333334</v>
      </c>
      <c r="H24" s="98">
        <f>(H8/2*1.25)+((H6+H7)*3/60)+(H18*2/60)+(H12/1000*0.65)+0.3+2</f>
        <v>10.200000000000001</v>
      </c>
      <c r="I24" s="108">
        <f t="shared" si="2"/>
        <v>408.00000000000006</v>
      </c>
      <c r="J24" s="98">
        <f>(J8/2*1.25)+((J6+J7)*5/60)+(J17*2/60)+(J12/1000*0.65)+0.3+2</f>
        <v>10.966666666666669</v>
      </c>
      <c r="K24" s="109">
        <f t="shared" si="3"/>
        <v>438.66666666666674</v>
      </c>
      <c r="L24" s="26"/>
      <c r="M24" s="53"/>
    </row>
    <row r="25" spans="1:13" ht="12.75">
      <c r="A25" s="28"/>
      <c r="B25" s="26"/>
      <c r="C25" s="20"/>
      <c r="D25" s="29"/>
      <c r="E25" s="23"/>
      <c r="F25" s="21"/>
      <c r="G25" s="23"/>
      <c r="H25" s="29"/>
      <c r="I25" s="22"/>
      <c r="J25" s="21"/>
      <c r="K25" s="23"/>
      <c r="L25" s="26"/>
      <c r="M25" s="50"/>
    </row>
    <row r="26" spans="1:13" ht="12.75">
      <c r="A26" s="106" t="s">
        <v>181</v>
      </c>
      <c r="B26" s="30" t="s">
        <v>28</v>
      </c>
      <c r="C26" s="24"/>
      <c r="D26" s="29"/>
      <c r="E26" s="23">
        <f>SUM(E6:E22)</f>
        <v>312.30832000000004</v>
      </c>
      <c r="F26" s="32"/>
      <c r="G26" s="23">
        <f>SUM(G6:G22)</f>
        <v>376.43651500000004</v>
      </c>
      <c r="H26" s="22"/>
      <c r="I26" s="22">
        <f>SUM(I6:I22)</f>
        <v>575.2686733333333</v>
      </c>
      <c r="J26" s="32"/>
      <c r="K26" s="23">
        <f>SUM(K6:K22)</f>
        <v>650.2526833333334</v>
      </c>
      <c r="L26" s="26"/>
      <c r="M26" s="53"/>
    </row>
    <row r="27" spans="1:13" ht="12.75">
      <c r="A27" s="28"/>
      <c r="B27" s="30" t="s">
        <v>29</v>
      </c>
      <c r="C27" s="24"/>
      <c r="D27" s="29"/>
      <c r="E27" s="34">
        <f>E26/1000</f>
        <v>0.31230832000000003</v>
      </c>
      <c r="F27" s="35"/>
      <c r="G27" s="34">
        <f>G26/1000</f>
        <v>0.376436515</v>
      </c>
      <c r="H27" s="54"/>
      <c r="I27" s="54">
        <f>I26/1000</f>
        <v>0.5752686733333332</v>
      </c>
      <c r="J27" s="35"/>
      <c r="K27" s="34">
        <f>K26/1000</f>
        <v>0.6502526833333334</v>
      </c>
      <c r="L27" s="26"/>
      <c r="M27" s="55"/>
    </row>
    <row r="28" spans="1:13" ht="12.75">
      <c r="A28" s="28"/>
      <c r="B28" s="52"/>
      <c r="C28" s="24"/>
      <c r="D28" s="29"/>
      <c r="E28" s="23"/>
      <c r="F28" s="32"/>
      <c r="G28" s="23"/>
      <c r="H28" s="22"/>
      <c r="I28" s="22"/>
      <c r="J28" s="32"/>
      <c r="K28" s="23"/>
      <c r="L28" s="26"/>
      <c r="M28" s="50"/>
    </row>
    <row r="29" spans="1:13" ht="12.75">
      <c r="A29" s="28"/>
      <c r="B29" s="30" t="s">
        <v>30</v>
      </c>
      <c r="C29" s="24"/>
      <c r="D29" s="29"/>
      <c r="E29" s="23">
        <f>E23+E24</f>
        <v>242.5</v>
      </c>
      <c r="F29" s="32"/>
      <c r="G29" s="23">
        <f>G23+G24</f>
        <v>286.5</v>
      </c>
      <c r="H29" s="22"/>
      <c r="I29" s="22">
        <f>I23+I24</f>
        <v>572.6666666666667</v>
      </c>
      <c r="J29" s="32"/>
      <c r="K29" s="23">
        <f>K23+K24</f>
        <v>603.3333333333335</v>
      </c>
      <c r="L29" s="26"/>
      <c r="M29" s="53"/>
    </row>
    <row r="30" spans="1:13" ht="12.75">
      <c r="A30" s="28"/>
      <c r="B30" s="30" t="s">
        <v>31</v>
      </c>
      <c r="C30" s="24"/>
      <c r="D30" s="29"/>
      <c r="E30" s="34">
        <f>E29/1000</f>
        <v>0.2425</v>
      </c>
      <c r="F30" s="35"/>
      <c r="G30" s="34">
        <f>G29/1000</f>
        <v>0.2865</v>
      </c>
      <c r="H30" s="54"/>
      <c r="I30" s="54">
        <f>I29/1000</f>
        <v>0.5726666666666668</v>
      </c>
      <c r="J30" s="35"/>
      <c r="K30" s="34">
        <f>K29/1000</f>
        <v>0.6033333333333335</v>
      </c>
      <c r="L30" s="26"/>
      <c r="M30" s="55"/>
    </row>
    <row r="31" spans="1:13" ht="12.75">
      <c r="A31" s="28"/>
      <c r="B31" s="52"/>
      <c r="C31" s="24"/>
      <c r="D31" s="29"/>
      <c r="E31" s="23"/>
      <c r="F31" s="32"/>
      <c r="G31" s="23"/>
      <c r="H31" s="22"/>
      <c r="I31" s="22"/>
      <c r="J31" s="32"/>
      <c r="K31" s="23"/>
      <c r="L31" s="26"/>
      <c r="M31" s="50"/>
    </row>
    <row r="32" spans="1:13" ht="12.75">
      <c r="A32" s="28"/>
      <c r="B32" s="30" t="s">
        <v>32</v>
      </c>
      <c r="C32" s="24"/>
      <c r="D32" s="29"/>
      <c r="E32" s="23">
        <f>SUM(E4:E25)</f>
        <v>554.8083200000001</v>
      </c>
      <c r="F32" s="32"/>
      <c r="G32" s="23">
        <f>SUM(G4:G25)</f>
        <v>662.9365150000001</v>
      </c>
      <c r="H32" s="22"/>
      <c r="I32" s="22">
        <f>SUM(I4:I25)</f>
        <v>1147.93534</v>
      </c>
      <c r="J32" s="32"/>
      <c r="K32" s="23">
        <f>SUM(K4:K25)</f>
        <v>1253.5860166666669</v>
      </c>
      <c r="L32" s="26"/>
      <c r="M32" s="53"/>
    </row>
    <row r="33" spans="1:13" ht="13.5" thickBot="1">
      <c r="A33" s="37"/>
      <c r="B33" s="38" t="s">
        <v>33</v>
      </c>
      <c r="C33" s="39"/>
      <c r="D33" s="39"/>
      <c r="E33" s="86">
        <f>E32/1000</f>
        <v>0.5548083200000001</v>
      </c>
      <c r="F33" s="75"/>
      <c r="G33" s="86">
        <f>G32/1000</f>
        <v>0.6629365150000001</v>
      </c>
      <c r="H33" s="57"/>
      <c r="I33" s="57">
        <f>I32/1000</f>
        <v>1.14793534</v>
      </c>
      <c r="J33" s="75"/>
      <c r="K33" s="86">
        <f>K32/1000</f>
        <v>1.2535860166666668</v>
      </c>
      <c r="L33" s="58"/>
      <c r="M33" s="59"/>
    </row>
    <row r="35" spans="1:12" ht="15">
      <c r="A35" s="81" t="s">
        <v>61</v>
      </c>
      <c r="B35" s="76"/>
      <c r="C35" s="26"/>
      <c r="D35" s="80" t="s">
        <v>70</v>
      </c>
      <c r="E35" s="77"/>
      <c r="F35" s="26"/>
      <c r="G35" s="26"/>
      <c r="H35" s="26"/>
      <c r="I35" s="52" t="s">
        <v>76</v>
      </c>
      <c r="J35" s="26"/>
      <c r="K35" s="26"/>
      <c r="L35" s="26"/>
    </row>
    <row r="36" spans="1:12" ht="12.75">
      <c r="A36" s="26" t="s">
        <v>62</v>
      </c>
      <c r="B36" s="26"/>
      <c r="C36" s="78"/>
      <c r="D36" s="26" t="s">
        <v>75</v>
      </c>
      <c r="E36" s="77"/>
      <c r="F36" s="26"/>
      <c r="G36" s="79"/>
      <c r="H36" s="26"/>
      <c r="I36" s="26" t="s">
        <v>95</v>
      </c>
      <c r="J36" s="26"/>
      <c r="K36" s="26"/>
      <c r="L36" s="26"/>
    </row>
    <row r="37" spans="1:12" ht="12.75">
      <c r="A37" s="26" t="s">
        <v>106</v>
      </c>
      <c r="B37" s="26"/>
      <c r="C37" s="78"/>
      <c r="D37" s="26" t="s">
        <v>71</v>
      </c>
      <c r="E37" s="26"/>
      <c r="F37" s="26"/>
      <c r="G37" s="26"/>
      <c r="H37" s="26"/>
      <c r="I37" s="26" t="s">
        <v>96</v>
      </c>
      <c r="J37" s="26"/>
      <c r="K37" s="26"/>
      <c r="L37" s="26"/>
    </row>
    <row r="38" spans="1:9" s="26" customFormat="1" ht="12" customHeight="1">
      <c r="A38" s="26" t="s">
        <v>92</v>
      </c>
      <c r="D38" s="26" t="s">
        <v>72</v>
      </c>
      <c r="I38" s="26" t="s">
        <v>97</v>
      </c>
    </row>
    <row r="39" spans="1:12" ht="12.75">
      <c r="A39" s="26" t="s">
        <v>64</v>
      </c>
      <c r="B39" s="26"/>
      <c r="C39" s="26"/>
      <c r="D39" s="26" t="s">
        <v>161</v>
      </c>
      <c r="E39" s="26"/>
      <c r="F39" s="30"/>
      <c r="G39" s="26"/>
      <c r="H39" s="26"/>
      <c r="I39" s="26" t="s">
        <v>98</v>
      </c>
      <c r="J39" s="26"/>
      <c r="K39" s="26"/>
      <c r="L39" s="26"/>
    </row>
    <row r="40" spans="1:12" ht="12.75">
      <c r="A40" s="26" t="s">
        <v>65</v>
      </c>
      <c r="B40" s="26"/>
      <c r="C40" s="26"/>
      <c r="E40" s="26"/>
      <c r="F40" s="19"/>
      <c r="G40" s="26"/>
      <c r="H40" s="26"/>
      <c r="I40" s="26"/>
      <c r="J40" s="26"/>
      <c r="K40" s="26"/>
      <c r="L40" s="26"/>
    </row>
    <row r="41" spans="1:12" ht="12.75">
      <c r="A41" s="26" t="s">
        <v>90</v>
      </c>
      <c r="B41" s="26"/>
      <c r="C41" s="26"/>
      <c r="D41" s="2" t="s">
        <v>93</v>
      </c>
      <c r="E41" s="26"/>
      <c r="F41" s="19"/>
      <c r="G41" s="26"/>
      <c r="H41" s="26"/>
      <c r="I41" s="26"/>
      <c r="J41" s="26"/>
      <c r="K41" s="26"/>
      <c r="L41" s="26"/>
    </row>
    <row r="42" spans="1:12" ht="12.75">
      <c r="A42" s="26" t="s">
        <v>107</v>
      </c>
      <c r="B42" s="26"/>
      <c r="C42" s="26"/>
      <c r="D42" s="83" t="s">
        <v>105</v>
      </c>
      <c r="E42" s="26"/>
      <c r="F42" s="84">
        <v>200</v>
      </c>
      <c r="G42" s="26"/>
      <c r="H42" s="26"/>
      <c r="I42" s="26"/>
      <c r="J42" s="26"/>
      <c r="K42" s="26"/>
      <c r="L42" s="26"/>
    </row>
    <row r="43" spans="1:12" ht="12.75">
      <c r="A43" s="26" t="s">
        <v>91</v>
      </c>
      <c r="B43" s="26"/>
      <c r="C43" s="26"/>
      <c r="D43" s="83" t="s">
        <v>94</v>
      </c>
      <c r="E43" s="26"/>
      <c r="F43" s="84">
        <v>125</v>
      </c>
      <c r="G43" s="26"/>
      <c r="H43" s="26"/>
      <c r="I43" s="26"/>
      <c r="J43" s="26"/>
      <c r="K43" s="26"/>
      <c r="L43" s="26"/>
    </row>
    <row r="44" spans="1:12" ht="12.75">
      <c r="A44" s="19" t="s">
        <v>68</v>
      </c>
      <c r="C44" s="147"/>
      <c r="D44" s="147"/>
      <c r="E44" s="147"/>
      <c r="F44" s="147"/>
      <c r="G44" s="62"/>
      <c r="H44" s="62"/>
      <c r="I44" s="62"/>
      <c r="J44" s="62"/>
      <c r="K44" s="62"/>
      <c r="L44" s="26"/>
    </row>
    <row r="45" spans="1:11" ht="12.75">
      <c r="A45" s="44"/>
      <c r="F45" s="62"/>
      <c r="G45" s="62"/>
      <c r="H45" s="62"/>
      <c r="I45" s="62"/>
      <c r="J45" s="62"/>
      <c r="K45" s="62"/>
    </row>
    <row r="46" spans="1:6" ht="12.75">
      <c r="A46" s="133" t="s">
        <v>220</v>
      </c>
      <c r="F46" s="3"/>
    </row>
    <row r="47" spans="1:6" ht="12.75">
      <c r="A47" s="133" t="s">
        <v>219</v>
      </c>
      <c r="F47" s="44"/>
    </row>
    <row r="48" spans="1:6" ht="12.75">
      <c r="A48" s="44"/>
      <c r="F48" s="44"/>
    </row>
    <row r="49" spans="1:6" ht="12.75">
      <c r="A49" s="44"/>
      <c r="F49" s="44"/>
    </row>
    <row r="50" ht="12.75">
      <c r="F50" s="44"/>
    </row>
    <row r="51" ht="12.75">
      <c r="A51" s="44"/>
    </row>
    <row r="52" ht="12.75">
      <c r="A52" s="44"/>
    </row>
  </sheetData>
  <sheetProtection/>
  <mergeCells count="1">
    <mergeCell ref="C44:F44"/>
  </mergeCells>
  <printOptions/>
  <pageMargins left="0.75" right="0.75" top="1" bottom="1" header="0.5" footer="0.5"/>
  <pageSetup fitToHeight="1" fitToWidth="1" horizontalDpi="600" verticalDpi="600" orientation="landscape" scale="89"/>
  <ignoredErrors>
    <ignoredError sqref="I11 I23"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O106"/>
  <sheetViews>
    <sheetView zoomScalePageLayoutView="0" workbookViewId="0" topLeftCell="A46">
      <selection activeCell="A47" sqref="A47:A48"/>
    </sheetView>
  </sheetViews>
  <sheetFormatPr defaultColWidth="9.625" defaultRowHeight="12.75"/>
  <cols>
    <col min="1" max="1" width="29.875" style="1" customWidth="1"/>
    <col min="2" max="2" width="7.625" style="1" customWidth="1"/>
    <col min="3" max="3" width="8.625" style="1" customWidth="1"/>
    <col min="4" max="4" width="10.625" style="1" customWidth="1"/>
    <col min="5" max="5" width="9.00390625" style="1" customWidth="1"/>
    <col min="6" max="6" width="10.625" style="1" customWidth="1"/>
    <col min="7" max="7" width="9.125" style="1" customWidth="1"/>
    <col min="8" max="8" width="10.625" style="1" customWidth="1"/>
    <col min="9" max="9" width="9.50390625" style="1" customWidth="1"/>
    <col min="10" max="12" width="10.625" style="1" customWidth="1"/>
    <col min="13" max="13" width="10.375" style="1" customWidth="1"/>
    <col min="14" max="14" width="10.625" style="1" customWidth="1"/>
    <col min="15" max="15" width="7.375" style="1" customWidth="1"/>
    <col min="16" max="16" width="1.37890625" style="1" customWidth="1"/>
    <col min="17" max="16384" width="9.625" style="1" customWidth="1"/>
  </cols>
  <sheetData>
    <row r="1" spans="1:13" ht="16.5">
      <c r="A1" s="85" t="s">
        <v>57</v>
      </c>
      <c r="B1" s="26"/>
      <c r="D1" s="26"/>
      <c r="E1" s="26"/>
      <c r="F1" s="26"/>
      <c r="G1" s="26"/>
      <c r="H1" s="26"/>
      <c r="I1" s="26"/>
      <c r="J1" s="26"/>
      <c r="K1" s="26"/>
      <c r="L1" s="26"/>
      <c r="M1" s="26"/>
    </row>
    <row r="2" spans="1:15" ht="15" customHeight="1">
      <c r="A2" s="26"/>
      <c r="B2" s="26"/>
      <c r="C2" s="26"/>
      <c r="D2" s="148" t="s">
        <v>99</v>
      </c>
      <c r="E2" s="143"/>
      <c r="F2" s="148" t="s">
        <v>99</v>
      </c>
      <c r="G2" s="143"/>
      <c r="H2" s="148" t="s">
        <v>99</v>
      </c>
      <c r="I2" s="143"/>
      <c r="J2" s="148" t="s">
        <v>104</v>
      </c>
      <c r="K2" s="149"/>
      <c r="L2" s="148" t="s">
        <v>104</v>
      </c>
      <c r="M2" s="149"/>
      <c r="N2" s="5" t="s">
        <v>7</v>
      </c>
      <c r="O2" s="5"/>
    </row>
    <row r="3" spans="1:15" ht="15" customHeight="1">
      <c r="A3" s="70"/>
      <c r="B3" s="26"/>
      <c r="C3" s="26"/>
      <c r="D3" s="148" t="s">
        <v>100</v>
      </c>
      <c r="E3" s="143"/>
      <c r="F3" s="148" t="s">
        <v>100</v>
      </c>
      <c r="G3" s="143"/>
      <c r="H3" s="148" t="s">
        <v>100</v>
      </c>
      <c r="I3" s="143"/>
      <c r="J3" s="148" t="s">
        <v>2</v>
      </c>
      <c r="K3" s="149"/>
      <c r="L3" s="148" t="s">
        <v>2</v>
      </c>
      <c r="M3" s="149"/>
      <c r="N3" s="5" t="s">
        <v>10</v>
      </c>
      <c r="O3" s="5"/>
    </row>
    <row r="4" spans="1:13" ht="15" customHeight="1">
      <c r="A4" s="26"/>
      <c r="B4" s="26"/>
      <c r="C4" s="26"/>
      <c r="D4" s="148" t="s">
        <v>101</v>
      </c>
      <c r="E4" s="143"/>
      <c r="F4" s="148" t="s">
        <v>102</v>
      </c>
      <c r="G4" s="143"/>
      <c r="H4" s="148" t="s">
        <v>103</v>
      </c>
      <c r="I4" s="143"/>
      <c r="J4" s="148" t="s">
        <v>102</v>
      </c>
      <c r="K4" s="149"/>
      <c r="L4" s="148" t="s">
        <v>103</v>
      </c>
      <c r="M4" s="149"/>
    </row>
    <row r="5" spans="2:13" ht="12.75">
      <c r="B5" s="26"/>
      <c r="C5" s="26"/>
      <c r="D5" s="26"/>
      <c r="E5" s="26"/>
      <c r="F5" s="26"/>
      <c r="G5" s="26"/>
      <c r="H5" s="26"/>
      <c r="I5" s="26"/>
      <c r="J5" s="26"/>
      <c r="K5" s="26"/>
      <c r="L5" s="26"/>
      <c r="M5" s="26"/>
    </row>
    <row r="6" spans="1:15" ht="12.75">
      <c r="A6" s="71" t="s">
        <v>11</v>
      </c>
      <c r="B6" s="71" t="s">
        <v>12</v>
      </c>
      <c r="C6" s="71" t="s">
        <v>13</v>
      </c>
      <c r="D6" s="71" t="s">
        <v>55</v>
      </c>
      <c r="E6" s="71" t="s">
        <v>14</v>
      </c>
      <c r="F6" s="71" t="s">
        <v>55</v>
      </c>
      <c r="G6" s="71" t="s">
        <v>14</v>
      </c>
      <c r="H6" s="71" t="s">
        <v>55</v>
      </c>
      <c r="I6" s="71" t="s">
        <v>14</v>
      </c>
      <c r="J6" s="71" t="s">
        <v>55</v>
      </c>
      <c r="K6" s="71" t="s">
        <v>14</v>
      </c>
      <c r="L6" s="71" t="s">
        <v>55</v>
      </c>
      <c r="M6" s="71" t="s">
        <v>14</v>
      </c>
      <c r="N6" s="71" t="s">
        <v>55</v>
      </c>
      <c r="O6" s="71" t="s">
        <v>14</v>
      </c>
    </row>
    <row r="7" spans="1:13" ht="13.5" thickBot="1">
      <c r="A7" s="26"/>
      <c r="B7" s="26"/>
      <c r="C7" s="26"/>
      <c r="D7" s="26"/>
      <c r="E7" s="26"/>
      <c r="F7" s="26"/>
      <c r="G7" s="26"/>
      <c r="H7" s="58"/>
      <c r="I7" s="58"/>
      <c r="J7" s="26"/>
      <c r="K7" s="26"/>
      <c r="L7" s="58"/>
      <c r="M7" s="58"/>
    </row>
    <row r="8" spans="1:15" ht="21" customHeight="1">
      <c r="A8" s="11" t="s">
        <v>163</v>
      </c>
      <c r="B8" s="12" t="s">
        <v>16</v>
      </c>
      <c r="C8" s="14">
        <f>'Intro - Prices'!E7</f>
        <v>13.549500000000002</v>
      </c>
      <c r="D8" s="95">
        <v>10</v>
      </c>
      <c r="E8" s="14">
        <f aca="true" t="shared" si="0" ref="E8:E23">C8*D8</f>
        <v>135.495</v>
      </c>
      <c r="F8" s="95">
        <v>10</v>
      </c>
      <c r="G8" s="14">
        <f aca="true" t="shared" si="1" ref="G8:G23">C8*F8</f>
        <v>135.495</v>
      </c>
      <c r="H8" s="96">
        <v>10</v>
      </c>
      <c r="I8" s="23">
        <f aca="true" t="shared" si="2" ref="I8:I23">C8*H8</f>
        <v>135.495</v>
      </c>
      <c r="J8" s="99">
        <v>0</v>
      </c>
      <c r="K8" s="14">
        <f>C8*J8</f>
        <v>0</v>
      </c>
      <c r="L8" s="96">
        <v>0</v>
      </c>
      <c r="M8" s="23">
        <f aca="true" t="shared" si="3" ref="M8:M13">C8*L8</f>
        <v>0</v>
      </c>
      <c r="N8" s="49"/>
      <c r="O8" s="68"/>
    </row>
    <row r="9" spans="1:15" ht="12.75">
      <c r="A9" s="18" t="s">
        <v>184</v>
      </c>
      <c r="B9" s="19" t="s">
        <v>16</v>
      </c>
      <c r="C9" s="22">
        <f>'Intro - Prices'!E9</f>
        <v>8.358</v>
      </c>
      <c r="D9" s="96">
        <v>35</v>
      </c>
      <c r="E9" s="22">
        <f t="shared" si="0"/>
        <v>292.53000000000003</v>
      </c>
      <c r="F9" s="96">
        <v>35</v>
      </c>
      <c r="G9" s="22">
        <f t="shared" si="1"/>
        <v>292.53000000000003</v>
      </c>
      <c r="H9" s="96">
        <v>35</v>
      </c>
      <c r="I9" s="23">
        <f t="shared" si="2"/>
        <v>292.53000000000003</v>
      </c>
      <c r="J9" s="100">
        <v>0</v>
      </c>
      <c r="K9" s="22">
        <f>C9*J9</f>
        <v>0</v>
      </c>
      <c r="L9" s="96">
        <v>0</v>
      </c>
      <c r="M9" s="23">
        <f t="shared" si="3"/>
        <v>0</v>
      </c>
      <c r="N9" s="26"/>
      <c r="O9" s="53"/>
    </row>
    <row r="10" spans="1:15" ht="12.75">
      <c r="A10" s="18" t="s">
        <v>165</v>
      </c>
      <c r="B10" s="19" t="s">
        <v>16</v>
      </c>
      <c r="C10" s="22">
        <f>'Intro - Prices'!E14</f>
        <v>8.83225</v>
      </c>
      <c r="D10" s="96">
        <v>6</v>
      </c>
      <c r="E10" s="22">
        <f t="shared" si="0"/>
        <v>52.9935</v>
      </c>
      <c r="F10" s="96">
        <v>6</v>
      </c>
      <c r="G10" s="22">
        <f t="shared" si="1"/>
        <v>52.9935</v>
      </c>
      <c r="H10" s="96">
        <v>6</v>
      </c>
      <c r="I10" s="23">
        <f t="shared" si="2"/>
        <v>52.9935</v>
      </c>
      <c r="J10" s="100">
        <v>0</v>
      </c>
      <c r="K10" s="22">
        <f>C10*J10</f>
        <v>0</v>
      </c>
      <c r="L10" s="96">
        <v>0</v>
      </c>
      <c r="M10" s="23">
        <f t="shared" si="3"/>
        <v>0</v>
      </c>
      <c r="N10" s="26"/>
      <c r="O10" s="53"/>
    </row>
    <row r="11" spans="1:15" ht="12.75">
      <c r="A11" s="18" t="s">
        <v>188</v>
      </c>
      <c r="B11" s="19" t="s">
        <v>16</v>
      </c>
      <c r="C11" s="22">
        <f>'Intro - Prices'!E15</f>
        <v>8.4</v>
      </c>
      <c r="D11" s="96">
        <v>0</v>
      </c>
      <c r="E11" s="22">
        <f t="shared" si="0"/>
        <v>0</v>
      </c>
      <c r="F11" s="96">
        <v>0</v>
      </c>
      <c r="G11" s="22">
        <f t="shared" si="1"/>
        <v>0</v>
      </c>
      <c r="H11" s="96">
        <v>0</v>
      </c>
      <c r="I11" s="23">
        <f t="shared" si="2"/>
        <v>0</v>
      </c>
      <c r="J11" s="100">
        <v>100</v>
      </c>
      <c r="K11" s="22">
        <f>C11*J11</f>
        <v>840</v>
      </c>
      <c r="L11" s="96">
        <v>100</v>
      </c>
      <c r="M11" s="23">
        <f t="shared" si="3"/>
        <v>840</v>
      </c>
      <c r="N11" s="26"/>
      <c r="O11" s="53"/>
    </row>
    <row r="12" spans="1:15" ht="12.75">
      <c r="A12" s="18" t="s">
        <v>166</v>
      </c>
      <c r="B12" s="19" t="s">
        <v>16</v>
      </c>
      <c r="C12" s="22">
        <f>'Intro - Prices'!E26</f>
        <v>0.931</v>
      </c>
      <c r="D12" s="96">
        <v>6</v>
      </c>
      <c r="E12" s="22">
        <f t="shared" si="0"/>
        <v>5.586</v>
      </c>
      <c r="F12" s="96">
        <v>6</v>
      </c>
      <c r="G12" s="22">
        <f t="shared" si="1"/>
        <v>5.586</v>
      </c>
      <c r="H12" s="96">
        <v>6</v>
      </c>
      <c r="I12" s="23">
        <f t="shared" si="2"/>
        <v>5.586</v>
      </c>
      <c r="J12" s="100">
        <v>6</v>
      </c>
      <c r="K12" s="22">
        <f>C12*J12</f>
        <v>5.586</v>
      </c>
      <c r="L12" s="96">
        <v>0</v>
      </c>
      <c r="M12" s="23">
        <f t="shared" si="3"/>
        <v>0</v>
      </c>
      <c r="N12" s="26"/>
      <c r="O12" s="53"/>
    </row>
    <row r="13" spans="1:15" ht="12.75">
      <c r="A13" s="18" t="s">
        <v>167</v>
      </c>
      <c r="B13" s="19" t="s">
        <v>16</v>
      </c>
      <c r="C13" s="22">
        <f>'Intro - Prices'!E27</f>
        <v>0.6650000000000001</v>
      </c>
      <c r="D13" s="96">
        <v>6</v>
      </c>
      <c r="E13" s="22">
        <f t="shared" si="0"/>
        <v>3.990000000000001</v>
      </c>
      <c r="F13" s="96">
        <v>6</v>
      </c>
      <c r="G13" s="22">
        <f t="shared" si="1"/>
        <v>3.990000000000001</v>
      </c>
      <c r="H13" s="96">
        <v>6</v>
      </c>
      <c r="I13" s="23">
        <f t="shared" si="2"/>
        <v>3.990000000000001</v>
      </c>
      <c r="J13" s="100">
        <v>6</v>
      </c>
      <c r="K13" s="22">
        <f>BZ13*J13</f>
        <v>0</v>
      </c>
      <c r="L13" s="96">
        <v>0</v>
      </c>
      <c r="M13" s="23">
        <f t="shared" si="3"/>
        <v>0</v>
      </c>
      <c r="N13" s="26"/>
      <c r="O13" s="53"/>
    </row>
    <row r="14" spans="1:15" ht="12.75">
      <c r="A14" s="18" t="s">
        <v>168</v>
      </c>
      <c r="B14" s="19" t="s">
        <v>23</v>
      </c>
      <c r="C14" s="94">
        <f>'Intro - Prices'!E28</f>
        <v>0.0603188888888889</v>
      </c>
      <c r="D14" s="96">
        <f>40*D10</f>
        <v>240</v>
      </c>
      <c r="E14" s="22">
        <f t="shared" si="0"/>
        <v>14.476533333333336</v>
      </c>
      <c r="F14" s="96">
        <f>40*F10</f>
        <v>240</v>
      </c>
      <c r="G14" s="22">
        <f t="shared" si="1"/>
        <v>14.476533333333336</v>
      </c>
      <c r="H14" s="96">
        <f>H10*40</f>
        <v>240</v>
      </c>
      <c r="I14" s="23">
        <f t="shared" si="2"/>
        <v>14.476533333333336</v>
      </c>
      <c r="J14" s="100">
        <v>240</v>
      </c>
      <c r="K14" s="22">
        <f>J14*C14</f>
        <v>14.476533333333336</v>
      </c>
      <c r="L14" s="96">
        <v>240</v>
      </c>
      <c r="M14" s="23">
        <f>L14*C14</f>
        <v>14.476533333333336</v>
      </c>
      <c r="N14" s="26"/>
      <c r="O14" s="53"/>
    </row>
    <row r="15" spans="1:15" ht="12.75">
      <c r="A15" s="18" t="s">
        <v>189</v>
      </c>
      <c r="B15" s="19" t="s">
        <v>20</v>
      </c>
      <c r="C15" s="22">
        <f>'Intro - Prices'!E21</f>
        <v>44.919000000000004</v>
      </c>
      <c r="D15" s="96">
        <f>3000/1320</f>
        <v>2.272727272727273</v>
      </c>
      <c r="E15" s="22">
        <f t="shared" si="0"/>
        <v>102.08863636363638</v>
      </c>
      <c r="F15" s="96">
        <f>4000/1320</f>
        <v>3.0303030303030303</v>
      </c>
      <c r="G15" s="22">
        <f t="shared" si="1"/>
        <v>136.11818181818182</v>
      </c>
      <c r="H15" s="96">
        <f>5000/1320</f>
        <v>3.787878787878788</v>
      </c>
      <c r="I15" s="23">
        <f t="shared" si="2"/>
        <v>170.1477272727273</v>
      </c>
      <c r="J15" s="100">
        <v>0</v>
      </c>
      <c r="K15" s="22">
        <f>C15*J15</f>
        <v>0</v>
      </c>
      <c r="L15" s="96">
        <v>0</v>
      </c>
      <c r="M15" s="23">
        <f>C15*L15</f>
        <v>0</v>
      </c>
      <c r="N15" s="26"/>
      <c r="O15" s="53"/>
    </row>
    <row r="16" spans="1:15" ht="12.75">
      <c r="A16" s="18" t="s">
        <v>190</v>
      </c>
      <c r="B16" s="19" t="s">
        <v>20</v>
      </c>
      <c r="C16" s="22">
        <f>'Intro - Prices'!E20</f>
        <v>71.5995</v>
      </c>
      <c r="D16" s="96">
        <v>0</v>
      </c>
      <c r="E16" s="22">
        <f t="shared" si="0"/>
        <v>0</v>
      </c>
      <c r="F16" s="96">
        <v>0</v>
      </c>
      <c r="G16" s="22">
        <f t="shared" si="1"/>
        <v>0</v>
      </c>
      <c r="H16" s="96">
        <v>0</v>
      </c>
      <c r="I16" s="23">
        <f t="shared" si="2"/>
        <v>0</v>
      </c>
      <c r="J16" s="100">
        <f>4000/1320</f>
        <v>3.0303030303030303</v>
      </c>
      <c r="K16" s="22">
        <f>J16*C16</f>
        <v>216.96818181818185</v>
      </c>
      <c r="L16" s="96">
        <f>5000/1320</f>
        <v>3.787878787878788</v>
      </c>
      <c r="M16" s="23">
        <f>L16*C16</f>
        <v>271.2102272727273</v>
      </c>
      <c r="N16" s="26"/>
      <c r="O16" s="53"/>
    </row>
    <row r="17" spans="1:15" ht="12.75">
      <c r="A17" s="18" t="s">
        <v>170</v>
      </c>
      <c r="B17" s="19" t="s">
        <v>16</v>
      </c>
      <c r="C17" s="22">
        <f>'Intro - Prices'!E23</f>
        <v>139.341</v>
      </c>
      <c r="D17" s="96">
        <v>1</v>
      </c>
      <c r="E17" s="22">
        <f>C17*D17</f>
        <v>139.341</v>
      </c>
      <c r="F17" s="96">
        <v>1</v>
      </c>
      <c r="G17" s="22">
        <f>C17*F17</f>
        <v>139.341</v>
      </c>
      <c r="H17" s="96">
        <v>1</v>
      </c>
      <c r="I17" s="23">
        <f>C17*H17</f>
        <v>139.341</v>
      </c>
      <c r="J17" s="100">
        <v>1</v>
      </c>
      <c r="K17" s="22">
        <f>J17*C17</f>
        <v>139.341</v>
      </c>
      <c r="L17" s="96">
        <v>1</v>
      </c>
      <c r="M17" s="23">
        <f>L17*C17</f>
        <v>139.341</v>
      </c>
      <c r="N17" s="26"/>
      <c r="O17" s="53"/>
    </row>
    <row r="18" spans="1:13" ht="12.75">
      <c r="A18" s="18" t="s">
        <v>171</v>
      </c>
      <c r="B18" s="19" t="s">
        <v>16</v>
      </c>
      <c r="C18" s="22">
        <f>'Intro - Prices'!E25</f>
        <v>9.611</v>
      </c>
      <c r="D18" s="96">
        <v>2</v>
      </c>
      <c r="E18" s="22">
        <f>C18*D18</f>
        <v>19.222</v>
      </c>
      <c r="F18" s="96">
        <v>2</v>
      </c>
      <c r="G18" s="23">
        <f>C18*F18</f>
        <v>19.222</v>
      </c>
      <c r="H18" s="100">
        <v>2</v>
      </c>
      <c r="I18" s="22">
        <f>C18*H18</f>
        <v>19.222</v>
      </c>
      <c r="J18" s="96">
        <v>2</v>
      </c>
      <c r="K18" s="23">
        <f>C18*J18</f>
        <v>19.222</v>
      </c>
      <c r="L18" s="96">
        <v>2</v>
      </c>
      <c r="M18" s="23">
        <f>L18*C18</f>
        <v>19.222</v>
      </c>
    </row>
    <row r="19" spans="1:15" ht="12.75">
      <c r="A19" s="18" t="s">
        <v>174</v>
      </c>
      <c r="B19" s="19" t="s">
        <v>16</v>
      </c>
      <c r="C19" s="22">
        <f>'Intro - Prices'!E32</f>
        <v>2.3940000000000006</v>
      </c>
      <c r="D19" s="96">
        <v>0</v>
      </c>
      <c r="E19" s="22">
        <f t="shared" si="0"/>
        <v>0</v>
      </c>
      <c r="F19" s="96">
        <v>0</v>
      </c>
      <c r="G19" s="22">
        <f t="shared" si="1"/>
        <v>0</v>
      </c>
      <c r="H19" s="96">
        <v>0</v>
      </c>
      <c r="I19" s="23">
        <f t="shared" si="2"/>
        <v>0</v>
      </c>
      <c r="J19" s="100">
        <v>6</v>
      </c>
      <c r="K19" s="22">
        <f aca="true" t="shared" si="4" ref="K19:K25">C19*J19</f>
        <v>14.364000000000004</v>
      </c>
      <c r="L19" s="96">
        <v>6</v>
      </c>
      <c r="M19" s="23">
        <f aca="true" t="shared" si="5" ref="M19:M25">C19*L19</f>
        <v>14.364000000000004</v>
      </c>
      <c r="N19" s="26"/>
      <c r="O19" s="53"/>
    </row>
    <row r="20" spans="1:15" ht="12.75">
      <c r="A20" s="18" t="s">
        <v>175</v>
      </c>
      <c r="B20" s="19" t="s">
        <v>16</v>
      </c>
      <c r="C20" s="22">
        <f>'Intro - Prices'!E33</f>
        <v>3.454500000000001</v>
      </c>
      <c r="D20" s="96">
        <v>38</v>
      </c>
      <c r="E20" s="22">
        <f t="shared" si="0"/>
        <v>131.27100000000004</v>
      </c>
      <c r="F20" s="96">
        <v>38</v>
      </c>
      <c r="G20" s="22">
        <f t="shared" si="1"/>
        <v>131.27100000000004</v>
      </c>
      <c r="H20" s="96">
        <v>38</v>
      </c>
      <c r="I20" s="23">
        <f t="shared" si="2"/>
        <v>131.27100000000004</v>
      </c>
      <c r="J20" s="100">
        <v>0</v>
      </c>
      <c r="K20" s="22">
        <f t="shared" si="4"/>
        <v>0</v>
      </c>
      <c r="L20" s="96">
        <v>0</v>
      </c>
      <c r="M20" s="23">
        <f t="shared" si="5"/>
        <v>0</v>
      </c>
      <c r="N20" s="26"/>
      <c r="O20" s="53"/>
    </row>
    <row r="21" spans="1:15" ht="12.75">
      <c r="A21" s="18" t="s">
        <v>176</v>
      </c>
      <c r="B21" s="19" t="s">
        <v>16</v>
      </c>
      <c r="C21" s="22">
        <f>'Intro - Prices'!E34</f>
        <v>0.11812500000000002</v>
      </c>
      <c r="D21" s="96">
        <f>3*D20</f>
        <v>114</v>
      </c>
      <c r="E21" s="22">
        <f t="shared" si="0"/>
        <v>13.466250000000002</v>
      </c>
      <c r="F21" s="96">
        <f>4*F20</f>
        <v>152</v>
      </c>
      <c r="G21" s="22">
        <f t="shared" si="1"/>
        <v>17.955000000000002</v>
      </c>
      <c r="H21" s="96">
        <f>5*H20</f>
        <v>190</v>
      </c>
      <c r="I21" s="23">
        <f t="shared" si="2"/>
        <v>22.443750000000005</v>
      </c>
      <c r="J21" s="100">
        <v>0</v>
      </c>
      <c r="K21" s="22">
        <f t="shared" si="4"/>
        <v>0</v>
      </c>
      <c r="L21" s="96">
        <v>0</v>
      </c>
      <c r="M21" s="23">
        <f t="shared" si="5"/>
        <v>0</v>
      </c>
      <c r="N21" s="26"/>
      <c r="O21" s="53"/>
    </row>
    <row r="22" spans="1:15" ht="12.75">
      <c r="A22" s="18" t="s">
        <v>178</v>
      </c>
      <c r="B22" s="19" t="s">
        <v>51</v>
      </c>
      <c r="C22" s="22">
        <f>'Intro - Prices'!E38</f>
        <v>2.1515725</v>
      </c>
      <c r="D22" s="96">
        <f>0.0156*(D8+D9)*3*1.01</f>
        <v>2.1270599999999997</v>
      </c>
      <c r="E22" s="22">
        <f t="shared" si="0"/>
        <v>4.576523801849999</v>
      </c>
      <c r="F22" s="96">
        <f>0.0156*(F8+F9)*4*1.01</f>
        <v>2.83608</v>
      </c>
      <c r="G22" s="22">
        <f t="shared" si="1"/>
        <v>6.1020317358</v>
      </c>
      <c r="H22" s="96">
        <f>((0.0156*(H8+H9))*5)*1.01</f>
        <v>3.5450999999999997</v>
      </c>
      <c r="I22" s="23">
        <f t="shared" si="2"/>
        <v>7.627539669749999</v>
      </c>
      <c r="J22" s="100">
        <v>0</v>
      </c>
      <c r="K22" s="22">
        <f t="shared" si="4"/>
        <v>0</v>
      </c>
      <c r="L22" s="96">
        <v>0</v>
      </c>
      <c r="M22" s="23">
        <f t="shared" si="5"/>
        <v>0</v>
      </c>
      <c r="N22" s="26"/>
      <c r="O22" s="53"/>
    </row>
    <row r="23" spans="1:15" ht="12.75">
      <c r="A23" s="18" t="s">
        <v>191</v>
      </c>
      <c r="B23" s="19" t="s">
        <v>51</v>
      </c>
      <c r="C23" s="22">
        <f>'Intro - Prices'!E39</f>
        <v>1.56975</v>
      </c>
      <c r="D23" s="96">
        <v>0</v>
      </c>
      <c r="E23" s="22">
        <f t="shared" si="0"/>
        <v>0</v>
      </c>
      <c r="F23" s="96">
        <v>0</v>
      </c>
      <c r="G23" s="22">
        <f t="shared" si="1"/>
        <v>0</v>
      </c>
      <c r="H23" s="96">
        <v>0</v>
      </c>
      <c r="I23" s="23">
        <f t="shared" si="2"/>
        <v>0</v>
      </c>
      <c r="J23" s="100">
        <f>94*0.011*4*1.01</f>
        <v>4.17736</v>
      </c>
      <c r="K23" s="22">
        <f t="shared" si="4"/>
        <v>6.55741086</v>
      </c>
      <c r="L23" s="96">
        <f>94*0.011*5*1.01</f>
        <v>5.2217</v>
      </c>
      <c r="M23" s="23">
        <f t="shared" si="5"/>
        <v>8.196763575</v>
      </c>
      <c r="N23" s="26"/>
      <c r="O23" s="53"/>
    </row>
    <row r="24" spans="1:15" ht="12.75">
      <c r="A24" s="132" t="s">
        <v>214</v>
      </c>
      <c r="B24" s="19" t="s">
        <v>26</v>
      </c>
      <c r="C24" s="22">
        <f>'Intro - Prices'!E40</f>
        <v>95</v>
      </c>
      <c r="D24" s="96">
        <f>((D8*8)+(D9*6))/60</f>
        <v>4.833333333333333</v>
      </c>
      <c r="E24" s="22">
        <f>C24*D24</f>
        <v>459.16666666666663</v>
      </c>
      <c r="F24" s="96">
        <f>((F8*8)+(F9*6))/60</f>
        <v>4.833333333333333</v>
      </c>
      <c r="G24" s="22">
        <f>C24*F24</f>
        <v>459.16666666666663</v>
      </c>
      <c r="H24" s="96">
        <f>((H8*8)+(H9*6))/60</f>
        <v>4.833333333333333</v>
      </c>
      <c r="I24" s="23">
        <f>C24*H24</f>
        <v>459.16666666666663</v>
      </c>
      <c r="J24" s="100">
        <f>(J11-6)*7/60</f>
        <v>10.966666666666667</v>
      </c>
      <c r="K24" s="22">
        <f t="shared" si="4"/>
        <v>1041.8333333333333</v>
      </c>
      <c r="L24" s="96">
        <f>(L11-6)*7/60</f>
        <v>10.966666666666667</v>
      </c>
      <c r="M24" s="23">
        <f t="shared" si="5"/>
        <v>1041.8333333333333</v>
      </c>
      <c r="N24" s="26"/>
      <c r="O24" s="53"/>
    </row>
    <row r="25" spans="1:15" ht="12.75">
      <c r="A25" s="132" t="s">
        <v>216</v>
      </c>
      <c r="B25" s="104" t="s">
        <v>26</v>
      </c>
      <c r="C25" s="108">
        <f>'Intro - Prices'!E41</f>
        <v>40</v>
      </c>
      <c r="D25" s="98">
        <f>(D10*0.75)+((D8+D9)*6/60)+(D20*2/60)+(D14/1000*0.65)+0.3</f>
        <v>10.722666666666667</v>
      </c>
      <c r="E25" s="108">
        <f>C25*D25</f>
        <v>428.9066666666667</v>
      </c>
      <c r="F25" s="98">
        <f>(F10*0.75)+((F8+F9)*8/60)+(F20*2/60)+(F14/1000*0.65)+0.3</f>
        <v>12.222666666666667</v>
      </c>
      <c r="G25" s="108">
        <f>C25*F25</f>
        <v>488.9066666666667</v>
      </c>
      <c r="H25" s="98">
        <f>(H10*0.75)+((H8+H9)*10/60)+(H20*2/60)+(H14/1000*0.65)+0.3</f>
        <v>13.722666666666667</v>
      </c>
      <c r="I25" s="109">
        <f>C25*H25</f>
        <v>548.9066666666666</v>
      </c>
      <c r="J25" s="112">
        <f>((6*0.75)+(4*0.65)+(J23/0.011*1/60))+0.3</f>
        <v>13.729333333333335</v>
      </c>
      <c r="K25" s="108">
        <f t="shared" si="4"/>
        <v>549.1733333333334</v>
      </c>
      <c r="L25" s="98">
        <f>((6*0.75)+(5*0.65)+(L23/0.011*1/60))+0.3</f>
        <v>15.961666666666668</v>
      </c>
      <c r="M25" s="109">
        <f t="shared" si="5"/>
        <v>638.4666666666667</v>
      </c>
      <c r="N25" s="26"/>
      <c r="O25" s="53"/>
    </row>
    <row r="26" spans="1:15" ht="12.75">
      <c r="A26" s="28"/>
      <c r="B26" s="26"/>
      <c r="C26" s="20"/>
      <c r="D26" s="100"/>
      <c r="E26" s="23"/>
      <c r="F26" s="21"/>
      <c r="G26" s="22"/>
      <c r="H26" s="21"/>
      <c r="I26" s="23"/>
      <c r="J26" s="29"/>
      <c r="K26" s="22"/>
      <c r="L26" s="21"/>
      <c r="M26" s="23"/>
      <c r="N26" s="26"/>
      <c r="O26" s="50"/>
    </row>
    <row r="27" spans="1:15" ht="12.75">
      <c r="A27" s="105"/>
      <c r="B27" s="26"/>
      <c r="C27" s="72"/>
      <c r="D27" s="100"/>
      <c r="E27" s="117"/>
      <c r="F27" s="21"/>
      <c r="G27" s="29"/>
      <c r="H27" s="73"/>
      <c r="I27" s="74"/>
      <c r="J27" s="26"/>
      <c r="K27" s="26"/>
      <c r="L27" s="73"/>
      <c r="M27" s="74"/>
      <c r="N27" s="26"/>
      <c r="O27" s="50"/>
    </row>
    <row r="28" spans="1:15" ht="12.75">
      <c r="A28" s="106" t="s">
        <v>182</v>
      </c>
      <c r="B28" s="30" t="s">
        <v>28</v>
      </c>
      <c r="C28" s="29"/>
      <c r="D28" s="29"/>
      <c r="E28" s="23">
        <f>SUM(E8:E23)</f>
        <v>915.0364434988198</v>
      </c>
      <c r="F28" s="32"/>
      <c r="G28" s="22">
        <f>SUM(G8:G23)</f>
        <v>955.0802468873153</v>
      </c>
      <c r="H28" s="32"/>
      <c r="I28" s="23">
        <f>SUM(I8:I23)</f>
        <v>995.1240502758108</v>
      </c>
      <c r="J28" s="22"/>
      <c r="K28" s="22">
        <f>SUM(K8:K23)</f>
        <v>1256.5151260115151</v>
      </c>
      <c r="L28" s="32"/>
      <c r="M28" s="23">
        <f>SUM(M8:M23)</f>
        <v>1306.8105241810608</v>
      </c>
      <c r="N28" s="26"/>
      <c r="O28" s="53"/>
    </row>
    <row r="29" spans="1:15" ht="12.75">
      <c r="A29" s="28"/>
      <c r="B29" s="30" t="s">
        <v>29</v>
      </c>
      <c r="C29" s="29"/>
      <c r="D29" s="29"/>
      <c r="E29" s="34">
        <f>E28/1000</f>
        <v>0.9150364434988199</v>
      </c>
      <c r="F29" s="35"/>
      <c r="G29" s="54">
        <f>G28/1000</f>
        <v>0.9550802468873153</v>
      </c>
      <c r="H29" s="35"/>
      <c r="I29" s="34">
        <f>I28/1000</f>
        <v>0.9951240502758107</v>
      </c>
      <c r="J29" s="54"/>
      <c r="K29" s="54">
        <f>K28/1000</f>
        <v>1.256515126011515</v>
      </c>
      <c r="L29" s="32"/>
      <c r="M29" s="34">
        <f>M28/1000</f>
        <v>1.3068105241810608</v>
      </c>
      <c r="N29" s="26"/>
      <c r="O29" s="55"/>
    </row>
    <row r="30" spans="1:15" ht="12.75">
      <c r="A30" s="28"/>
      <c r="B30" s="52"/>
      <c r="C30" s="29"/>
      <c r="D30" s="29"/>
      <c r="E30" s="23"/>
      <c r="F30" s="32"/>
      <c r="G30" s="22"/>
      <c r="H30" s="32"/>
      <c r="I30" s="23"/>
      <c r="J30" s="22"/>
      <c r="K30" s="22"/>
      <c r="L30" s="32"/>
      <c r="M30" s="23"/>
      <c r="N30" s="26"/>
      <c r="O30" s="50"/>
    </row>
    <row r="31" spans="1:15" ht="12.75">
      <c r="A31" s="28"/>
      <c r="B31" s="30" t="s">
        <v>30</v>
      </c>
      <c r="C31" s="29"/>
      <c r="D31" s="29"/>
      <c r="E31" s="23">
        <f>E24+E25</f>
        <v>888.0733333333333</v>
      </c>
      <c r="F31" s="32"/>
      <c r="G31" s="22">
        <f>G24+G25</f>
        <v>948.0733333333333</v>
      </c>
      <c r="H31" s="32"/>
      <c r="I31" s="23">
        <f>I24+I25</f>
        <v>1008.0733333333333</v>
      </c>
      <c r="J31" s="22"/>
      <c r="K31" s="22">
        <f>K24+K25</f>
        <v>1591.0066666666667</v>
      </c>
      <c r="L31" s="32"/>
      <c r="M31" s="23">
        <f>M24+M25</f>
        <v>1680.3</v>
      </c>
      <c r="N31" s="26"/>
      <c r="O31" s="53"/>
    </row>
    <row r="32" spans="1:15" ht="12.75">
      <c r="A32" s="28"/>
      <c r="B32" s="30" t="s">
        <v>31</v>
      </c>
      <c r="C32" s="29"/>
      <c r="D32" s="29"/>
      <c r="E32" s="34">
        <f>E31/1000</f>
        <v>0.8880733333333333</v>
      </c>
      <c r="F32" s="35"/>
      <c r="G32" s="54">
        <f>G31/1000</f>
        <v>0.9480733333333332</v>
      </c>
      <c r="H32" s="35"/>
      <c r="I32" s="34">
        <f>I31/1000</f>
        <v>1.0080733333333334</v>
      </c>
      <c r="J32" s="54"/>
      <c r="K32" s="54">
        <f>K31/1000</f>
        <v>1.5910066666666667</v>
      </c>
      <c r="L32" s="32"/>
      <c r="M32" s="34">
        <f>M31/1000</f>
        <v>1.6803</v>
      </c>
      <c r="N32" s="26"/>
      <c r="O32" s="55"/>
    </row>
    <row r="33" spans="1:15" ht="12.75">
      <c r="A33" s="28"/>
      <c r="B33" s="52"/>
      <c r="C33" s="29"/>
      <c r="D33" s="29"/>
      <c r="E33" s="23"/>
      <c r="F33" s="32"/>
      <c r="G33" s="22"/>
      <c r="H33" s="32"/>
      <c r="I33" s="23"/>
      <c r="J33" s="22"/>
      <c r="K33" s="22"/>
      <c r="L33" s="32"/>
      <c r="M33" s="23"/>
      <c r="N33" s="26"/>
      <c r="O33" s="50"/>
    </row>
    <row r="34" spans="1:15" ht="12.75">
      <c r="A34" s="28"/>
      <c r="B34" s="30" t="s">
        <v>32</v>
      </c>
      <c r="C34" s="29"/>
      <c r="D34" s="29"/>
      <c r="E34" s="23">
        <f>SUM(E6:E27)</f>
        <v>1803.1097768321533</v>
      </c>
      <c r="F34" s="32"/>
      <c r="G34" s="22">
        <f>SUM(G6:G27)</f>
        <v>1903.1535802206486</v>
      </c>
      <c r="H34" s="32"/>
      <c r="I34" s="23">
        <f>SUM(I6:I27)</f>
        <v>2003.1973836091443</v>
      </c>
      <c r="J34" s="54"/>
      <c r="K34" s="22">
        <f>SUM(K6:K27)</f>
        <v>2847.5217926781816</v>
      </c>
      <c r="L34" s="32"/>
      <c r="M34" s="23">
        <f>SUM(M6:M27)</f>
        <v>2987.1105241810606</v>
      </c>
      <c r="N34" s="26"/>
      <c r="O34" s="53"/>
    </row>
    <row r="35" spans="1:15" ht="13.5" thickBot="1">
      <c r="A35" s="37"/>
      <c r="B35" s="38" t="s">
        <v>33</v>
      </c>
      <c r="C35" s="39"/>
      <c r="D35" s="39"/>
      <c r="E35" s="86">
        <f>E34/1000</f>
        <v>1.8031097768321533</v>
      </c>
      <c r="F35" s="75"/>
      <c r="G35" s="57">
        <f>G34/1000</f>
        <v>1.9031535802206485</v>
      </c>
      <c r="H35" s="75"/>
      <c r="I35" s="86">
        <f>I34/1000</f>
        <v>2.003197383609144</v>
      </c>
      <c r="J35" s="57"/>
      <c r="K35" s="57">
        <f>K34/1000</f>
        <v>2.8475217926781817</v>
      </c>
      <c r="L35" s="87"/>
      <c r="M35" s="86">
        <f>M34/1000</f>
        <v>2.9871105241810607</v>
      </c>
      <c r="N35" s="58"/>
      <c r="O35" s="59"/>
    </row>
    <row r="36" spans="1:13" ht="12.75">
      <c r="A36" s="26"/>
      <c r="B36" s="26"/>
      <c r="C36" s="29"/>
      <c r="D36" s="29"/>
      <c r="E36" s="22"/>
      <c r="F36" s="22"/>
      <c r="G36" s="22"/>
      <c r="H36" s="22"/>
      <c r="I36" s="22"/>
      <c r="J36" s="22"/>
      <c r="K36" s="22"/>
      <c r="L36" s="22"/>
      <c r="M36" s="22"/>
    </row>
    <row r="37" spans="1:13" ht="15">
      <c r="A37" s="81" t="s">
        <v>61</v>
      </c>
      <c r="B37" s="76"/>
      <c r="C37" s="80" t="s">
        <v>70</v>
      </c>
      <c r="E37" s="77"/>
      <c r="F37" s="26"/>
      <c r="G37" s="26"/>
      <c r="H37" s="26"/>
      <c r="I37" s="81" t="s">
        <v>76</v>
      </c>
      <c r="J37" s="26"/>
      <c r="K37" s="26"/>
      <c r="L37" s="26"/>
      <c r="M37" s="26"/>
    </row>
    <row r="38" spans="1:13" ht="12.75">
      <c r="A38" s="26" t="s">
        <v>62</v>
      </c>
      <c r="B38" s="26"/>
      <c r="C38" s="26" t="s">
        <v>75</v>
      </c>
      <c r="E38" s="77"/>
      <c r="F38" s="26"/>
      <c r="G38" s="79"/>
      <c r="H38" s="26"/>
      <c r="I38" s="26" t="s">
        <v>79</v>
      </c>
      <c r="J38" s="26"/>
      <c r="K38" s="26"/>
      <c r="L38" s="26"/>
      <c r="M38" s="26"/>
    </row>
    <row r="39" spans="1:13" ht="12.75">
      <c r="A39" s="26" t="s">
        <v>63</v>
      </c>
      <c r="B39" s="26"/>
      <c r="C39" s="26" t="s">
        <v>71</v>
      </c>
      <c r="E39" s="26"/>
      <c r="F39" s="26"/>
      <c r="G39" s="26"/>
      <c r="H39" s="26"/>
      <c r="I39" s="26" t="s">
        <v>77</v>
      </c>
      <c r="J39" s="26"/>
      <c r="K39" s="26"/>
      <c r="L39" s="26"/>
      <c r="M39" s="26"/>
    </row>
    <row r="40" spans="1:13" ht="12.75">
      <c r="A40" s="26" t="s">
        <v>64</v>
      </c>
      <c r="B40" s="26"/>
      <c r="C40" s="26" t="s">
        <v>72</v>
      </c>
      <c r="E40" s="26"/>
      <c r="F40" s="26"/>
      <c r="G40" s="26"/>
      <c r="H40" s="26"/>
      <c r="I40" s="26" t="s">
        <v>78</v>
      </c>
      <c r="J40" s="26"/>
      <c r="K40" s="26"/>
      <c r="L40" s="26"/>
      <c r="M40" s="26"/>
    </row>
    <row r="41" spans="1:13" ht="12.75">
      <c r="A41" s="26" t="s">
        <v>65</v>
      </c>
      <c r="B41" s="26"/>
      <c r="C41" s="26" t="s">
        <v>73</v>
      </c>
      <c r="E41" s="26"/>
      <c r="F41" s="30"/>
      <c r="G41" s="26"/>
      <c r="H41" s="26"/>
      <c r="I41" s="26"/>
      <c r="J41" s="26"/>
      <c r="K41" s="26"/>
      <c r="L41" s="26"/>
      <c r="M41" s="26"/>
    </row>
    <row r="42" spans="1:13" ht="12.75">
      <c r="A42" s="26" t="s">
        <v>66</v>
      </c>
      <c r="B42" s="26"/>
      <c r="C42" s="26" t="s">
        <v>74</v>
      </c>
      <c r="E42" s="26"/>
      <c r="F42" s="19"/>
      <c r="G42" s="26"/>
      <c r="H42" s="26"/>
      <c r="I42" s="26"/>
      <c r="J42" s="26"/>
      <c r="K42" s="26"/>
      <c r="L42" s="26"/>
      <c r="M42" s="26"/>
    </row>
    <row r="43" spans="1:13" ht="12.75">
      <c r="A43" s="26" t="s">
        <v>67</v>
      </c>
      <c r="B43" s="26"/>
      <c r="C43" s="26"/>
      <c r="D43" s="26"/>
      <c r="E43" s="26"/>
      <c r="F43" s="19"/>
      <c r="G43" s="26"/>
      <c r="H43" s="26"/>
      <c r="I43" s="26"/>
      <c r="J43" s="26"/>
      <c r="K43" s="26"/>
      <c r="L43" s="26"/>
      <c r="M43" s="26"/>
    </row>
    <row r="44" spans="1:13" ht="12.75">
      <c r="A44" s="26" t="s">
        <v>69</v>
      </c>
      <c r="B44" s="26"/>
      <c r="C44" s="26"/>
      <c r="D44" s="26"/>
      <c r="E44" s="26"/>
      <c r="F44" s="19"/>
      <c r="G44" s="26"/>
      <c r="H44" s="26"/>
      <c r="I44" s="26"/>
      <c r="J44" s="26"/>
      <c r="K44" s="26"/>
      <c r="L44" s="26"/>
      <c r="M44" s="26"/>
    </row>
    <row r="45" spans="1:13" ht="12.75">
      <c r="A45" s="19" t="s">
        <v>68</v>
      </c>
      <c r="B45" s="26"/>
      <c r="C45" s="26"/>
      <c r="D45" s="26"/>
      <c r="E45" s="26"/>
      <c r="F45" s="62"/>
      <c r="G45" s="62"/>
      <c r="H45" s="62"/>
      <c r="I45" s="62"/>
      <c r="J45" s="62"/>
      <c r="K45" s="26"/>
      <c r="L45" s="26"/>
      <c r="M45" s="26"/>
    </row>
    <row r="46" spans="1:13" ht="12.75">
      <c r="A46" s="19"/>
      <c r="B46" s="26"/>
      <c r="C46" s="26"/>
      <c r="D46" s="26"/>
      <c r="E46" s="26"/>
      <c r="F46" s="30"/>
      <c r="G46" s="26"/>
      <c r="H46" s="26"/>
      <c r="I46" s="26"/>
      <c r="J46" s="26"/>
      <c r="K46" s="26"/>
      <c r="L46" s="26"/>
      <c r="M46" s="26"/>
    </row>
    <row r="47" spans="1:13" ht="12.75">
      <c r="A47" s="133" t="s">
        <v>220</v>
      </c>
      <c r="B47" s="26"/>
      <c r="C47" s="26"/>
      <c r="D47" s="26"/>
      <c r="E47" s="26"/>
      <c r="F47" s="19"/>
      <c r="G47" s="26"/>
      <c r="H47" s="26"/>
      <c r="I47" s="26"/>
      <c r="J47" s="26"/>
      <c r="K47" s="26"/>
      <c r="L47" s="26"/>
      <c r="M47" s="26"/>
    </row>
    <row r="48" spans="1:13" ht="12.75">
      <c r="A48" s="133" t="s">
        <v>219</v>
      </c>
      <c r="B48" s="26"/>
      <c r="C48" s="26"/>
      <c r="D48" s="26"/>
      <c r="E48" s="26"/>
      <c r="F48" s="19"/>
      <c r="G48" s="26"/>
      <c r="H48" s="26"/>
      <c r="I48" s="26"/>
      <c r="J48" s="26"/>
      <c r="K48" s="26"/>
      <c r="L48" s="26"/>
      <c r="M48" s="26"/>
    </row>
    <row r="49" spans="1:13" ht="12.75">
      <c r="A49" s="19"/>
      <c r="B49" s="26"/>
      <c r="C49" s="26"/>
      <c r="D49" s="26"/>
      <c r="E49" s="26"/>
      <c r="F49" s="19"/>
      <c r="G49" s="26"/>
      <c r="H49" s="26"/>
      <c r="I49" s="26"/>
      <c r="J49" s="26"/>
      <c r="K49" s="26"/>
      <c r="L49" s="26"/>
      <c r="M49" s="26"/>
    </row>
    <row r="50" spans="1:13" ht="12.75">
      <c r="A50" s="19"/>
      <c r="B50" s="26"/>
      <c r="C50" s="26"/>
      <c r="D50" s="26"/>
      <c r="E50" s="26"/>
      <c r="F50" s="26"/>
      <c r="G50" s="26"/>
      <c r="H50" s="26"/>
      <c r="I50" s="26"/>
      <c r="J50" s="26"/>
      <c r="K50" s="26"/>
      <c r="L50" s="26"/>
      <c r="M50" s="26"/>
    </row>
    <row r="106" ht="12.75">
      <c r="A106" s="44" t="s">
        <v>52</v>
      </c>
    </row>
  </sheetData>
  <sheetProtection/>
  <mergeCells count="15">
    <mergeCell ref="L2:M2"/>
    <mergeCell ref="L3:M3"/>
    <mergeCell ref="L4:M4"/>
    <mergeCell ref="H2:I2"/>
    <mergeCell ref="H3:I3"/>
    <mergeCell ref="H4:I4"/>
    <mergeCell ref="J2:K2"/>
    <mergeCell ref="J3:K3"/>
    <mergeCell ref="J4:K4"/>
    <mergeCell ref="D2:E2"/>
    <mergeCell ref="D3:E3"/>
    <mergeCell ref="D4:E4"/>
    <mergeCell ref="F2:G2"/>
    <mergeCell ref="F3:G3"/>
    <mergeCell ref="F4:G4"/>
  </mergeCells>
  <printOptions/>
  <pageMargins left="0.75" right="0.75" top="1" bottom="1" header="0.5" footer="0.5"/>
  <pageSetup fitToHeight="1" fitToWidth="1" horizontalDpi="600" verticalDpi="600" orientation="landscape" scale="80"/>
  <ignoredErrors>
    <ignoredError sqref="E14 E19 E24 G19 G24 K15 K24 M14"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M106"/>
  <sheetViews>
    <sheetView zoomScalePageLayoutView="0" workbookViewId="0" topLeftCell="A46">
      <selection activeCell="A47" sqref="A47:A48"/>
    </sheetView>
  </sheetViews>
  <sheetFormatPr defaultColWidth="9.625" defaultRowHeight="12.75"/>
  <cols>
    <col min="1" max="1" width="30.625" style="1" customWidth="1"/>
    <col min="2" max="2" width="9.00390625" style="1" customWidth="1"/>
    <col min="3" max="3" width="9.625" style="1" customWidth="1"/>
    <col min="4" max="4" width="10.625" style="1" customWidth="1"/>
    <col min="5" max="5" width="9.00390625" style="1" bestFit="1" customWidth="1"/>
    <col min="6" max="6" width="9.625" style="1" customWidth="1"/>
    <col min="7" max="7" width="9.00390625" style="1" bestFit="1" customWidth="1"/>
    <col min="8" max="8" width="9.625" style="1" customWidth="1"/>
    <col min="9" max="9" width="9.00390625" style="1" bestFit="1" customWidth="1"/>
    <col min="10" max="10" width="9.625" style="1" customWidth="1"/>
    <col min="11" max="11" width="10.625" style="1" customWidth="1"/>
    <col min="12" max="13" width="9.625" style="1" customWidth="1"/>
    <col min="14" max="16384" width="9.625" style="1" customWidth="1"/>
  </cols>
  <sheetData>
    <row r="1" ht="15.75" customHeight="1">
      <c r="A1" s="46" t="s">
        <v>183</v>
      </c>
    </row>
    <row r="3" spans="2:13" ht="16.5">
      <c r="B3" s="47"/>
      <c r="C3" s="47"/>
      <c r="D3" s="142" t="s">
        <v>34</v>
      </c>
      <c r="E3" s="139"/>
      <c r="F3" s="142" t="s">
        <v>35</v>
      </c>
      <c r="G3" s="139"/>
      <c r="H3" s="142" t="s">
        <v>36</v>
      </c>
      <c r="I3" s="139"/>
      <c r="J3" s="142" t="s">
        <v>37</v>
      </c>
      <c r="K3" s="139"/>
      <c r="L3" s="145" t="s">
        <v>38</v>
      </c>
      <c r="M3" s="145"/>
    </row>
    <row r="4" spans="1:13" ht="16.5">
      <c r="A4" s="89" t="s">
        <v>120</v>
      </c>
      <c r="B4" s="47"/>
      <c r="C4" s="47"/>
      <c r="D4" s="151" t="s">
        <v>118</v>
      </c>
      <c r="E4" s="151"/>
      <c r="F4" s="151" t="s">
        <v>119</v>
      </c>
      <c r="G4" s="151"/>
      <c r="H4" s="151" t="s">
        <v>119</v>
      </c>
      <c r="I4" s="151"/>
      <c r="J4" s="151" t="s">
        <v>119</v>
      </c>
      <c r="K4" s="151"/>
      <c r="L4" s="88"/>
      <c r="M4" s="88"/>
    </row>
    <row r="6" spans="1:13" ht="12.75">
      <c r="A6" s="7" t="s">
        <v>11</v>
      </c>
      <c r="B6" s="7" t="s">
        <v>12</v>
      </c>
      <c r="C6" s="8" t="s">
        <v>13</v>
      </c>
      <c r="D6" s="8" t="s">
        <v>55</v>
      </c>
      <c r="E6" s="8" t="s">
        <v>14</v>
      </c>
      <c r="F6" s="8" t="s">
        <v>55</v>
      </c>
      <c r="G6" s="8" t="s">
        <v>14</v>
      </c>
      <c r="H6" s="8" t="s">
        <v>55</v>
      </c>
      <c r="I6" s="8" t="s">
        <v>14</v>
      </c>
      <c r="J6" s="8" t="s">
        <v>55</v>
      </c>
      <c r="K6" s="8" t="s">
        <v>14</v>
      </c>
      <c r="L6" s="8" t="s">
        <v>55</v>
      </c>
      <c r="M6" s="8" t="s">
        <v>14</v>
      </c>
    </row>
    <row r="7" spans="4:11" ht="13.5" thickBot="1">
      <c r="D7" s="150"/>
      <c r="E7" s="150"/>
      <c r="F7" s="150"/>
      <c r="G7" s="150"/>
      <c r="H7" s="150"/>
      <c r="I7" s="150"/>
      <c r="J7" s="150"/>
      <c r="K7" s="150"/>
    </row>
    <row r="8" spans="1:13" ht="21" customHeight="1">
      <c r="A8" s="11" t="s">
        <v>163</v>
      </c>
      <c r="B8" s="12" t="s">
        <v>16</v>
      </c>
      <c r="C8" s="14">
        <f>'Intro - Prices'!E7</f>
        <v>13.549500000000002</v>
      </c>
      <c r="D8" s="95">
        <v>10</v>
      </c>
      <c r="E8" s="14">
        <f aca="true" t="shared" si="0" ref="E8:E26">C8*D8</f>
        <v>135.495</v>
      </c>
      <c r="F8" s="102">
        <v>12</v>
      </c>
      <c r="G8" s="15">
        <f aca="true" t="shared" si="1" ref="G8:G26">C8*F8</f>
        <v>162.59400000000002</v>
      </c>
      <c r="H8" s="99">
        <v>12</v>
      </c>
      <c r="I8" s="14">
        <f aca="true" t="shared" si="2" ref="I8:I26">C8*H8</f>
        <v>162.59400000000002</v>
      </c>
      <c r="J8" s="102">
        <v>12</v>
      </c>
      <c r="K8" s="15">
        <f aca="true" t="shared" si="3" ref="K8:K26">C8*J8</f>
        <v>162.59400000000002</v>
      </c>
      <c r="L8" s="49"/>
      <c r="M8" s="17"/>
    </row>
    <row r="9" spans="1:13" ht="12.75">
      <c r="A9" s="18" t="s">
        <v>184</v>
      </c>
      <c r="B9" s="19" t="s">
        <v>16</v>
      </c>
      <c r="C9" s="22">
        <f>'Intro - Prices'!E9</f>
        <v>8.358</v>
      </c>
      <c r="D9" s="96">
        <v>32</v>
      </c>
      <c r="E9" s="22">
        <f t="shared" si="0"/>
        <v>267.456</v>
      </c>
      <c r="F9" s="96">
        <v>31</v>
      </c>
      <c r="G9" s="23">
        <f t="shared" si="1"/>
        <v>259.098</v>
      </c>
      <c r="H9" s="100">
        <v>31</v>
      </c>
      <c r="I9" s="22">
        <f t="shared" si="2"/>
        <v>259.098</v>
      </c>
      <c r="J9" s="96">
        <v>31</v>
      </c>
      <c r="K9" s="23">
        <f t="shared" si="3"/>
        <v>259.098</v>
      </c>
      <c r="L9" s="26"/>
      <c r="M9" s="25"/>
    </row>
    <row r="10" spans="1:13" ht="12.75">
      <c r="A10" s="18" t="s">
        <v>165</v>
      </c>
      <c r="B10" s="19" t="s">
        <v>16</v>
      </c>
      <c r="C10" s="22">
        <f>'Intro - Prices'!E14</f>
        <v>8.83225</v>
      </c>
      <c r="D10" s="96">
        <v>6</v>
      </c>
      <c r="E10" s="22">
        <f t="shared" si="0"/>
        <v>52.9935</v>
      </c>
      <c r="F10" s="96">
        <v>8</v>
      </c>
      <c r="G10" s="23">
        <f t="shared" si="1"/>
        <v>70.658</v>
      </c>
      <c r="H10" s="100">
        <v>8</v>
      </c>
      <c r="I10" s="22">
        <f t="shared" si="2"/>
        <v>70.658</v>
      </c>
      <c r="J10" s="96">
        <v>8</v>
      </c>
      <c r="K10" s="23">
        <f t="shared" si="3"/>
        <v>70.658</v>
      </c>
      <c r="L10" s="26"/>
      <c r="M10" s="25"/>
    </row>
    <row r="11" spans="1:13" ht="12.75">
      <c r="A11" s="18" t="s">
        <v>166</v>
      </c>
      <c r="B11" s="19" t="s">
        <v>16</v>
      </c>
      <c r="C11" s="22">
        <f>'Intro - Prices'!E26</f>
        <v>0.931</v>
      </c>
      <c r="D11" s="96">
        <v>6</v>
      </c>
      <c r="E11" s="22">
        <f t="shared" si="0"/>
        <v>5.586</v>
      </c>
      <c r="F11" s="96">
        <v>8</v>
      </c>
      <c r="G11" s="23">
        <f t="shared" si="1"/>
        <v>7.448</v>
      </c>
      <c r="H11" s="100">
        <v>8</v>
      </c>
      <c r="I11" s="22">
        <f t="shared" si="2"/>
        <v>7.448</v>
      </c>
      <c r="J11" s="96">
        <v>8</v>
      </c>
      <c r="K11" s="23">
        <f t="shared" si="3"/>
        <v>7.448</v>
      </c>
      <c r="L11" s="26"/>
      <c r="M11" s="25"/>
    </row>
    <row r="12" spans="1:13" ht="12.75">
      <c r="A12" s="18" t="s">
        <v>167</v>
      </c>
      <c r="B12" s="19" t="s">
        <v>16</v>
      </c>
      <c r="C12" s="22">
        <f>'Intro - Prices'!E27</f>
        <v>0.6650000000000001</v>
      </c>
      <c r="D12" s="96">
        <v>6</v>
      </c>
      <c r="E12" s="22">
        <f t="shared" si="0"/>
        <v>3.990000000000001</v>
      </c>
      <c r="F12" s="96">
        <v>6</v>
      </c>
      <c r="G12" s="23">
        <f t="shared" si="1"/>
        <v>3.990000000000001</v>
      </c>
      <c r="H12" s="100">
        <v>6</v>
      </c>
      <c r="I12" s="22">
        <f t="shared" si="2"/>
        <v>3.990000000000001</v>
      </c>
      <c r="J12" s="96">
        <v>6</v>
      </c>
      <c r="K12" s="23">
        <f t="shared" si="3"/>
        <v>3.990000000000001</v>
      </c>
      <c r="L12" s="26"/>
      <c r="M12" s="25"/>
    </row>
    <row r="13" spans="1:13" ht="12.75">
      <c r="A13" s="18" t="s">
        <v>168</v>
      </c>
      <c r="B13" s="19" t="s">
        <v>23</v>
      </c>
      <c r="C13" s="94">
        <f>'Intro - Prices'!E28</f>
        <v>0.0603188888888889</v>
      </c>
      <c r="D13" s="96">
        <f>(D10+4)*40</f>
        <v>400</v>
      </c>
      <c r="E13" s="22">
        <f t="shared" si="0"/>
        <v>24.12755555555556</v>
      </c>
      <c r="F13" s="96">
        <f>(F10+4)*40</f>
        <v>480</v>
      </c>
      <c r="G13" s="23">
        <f t="shared" si="1"/>
        <v>28.953066666666672</v>
      </c>
      <c r="H13" s="96">
        <f>(H10+4)*40</f>
        <v>480</v>
      </c>
      <c r="I13" s="22">
        <f t="shared" si="2"/>
        <v>28.953066666666672</v>
      </c>
      <c r="J13" s="96">
        <f>(J10+4)*40</f>
        <v>480</v>
      </c>
      <c r="K13" s="23">
        <f t="shared" si="3"/>
        <v>28.953066666666672</v>
      </c>
      <c r="L13" s="26"/>
      <c r="M13" s="25"/>
    </row>
    <row r="14" spans="1:13" ht="12.75">
      <c r="A14" s="18" t="s">
        <v>169</v>
      </c>
      <c r="B14" s="19" t="s">
        <v>23</v>
      </c>
      <c r="C14" s="94">
        <f>'Intro - Prices'!E29</f>
        <v>0.024123225</v>
      </c>
      <c r="D14" s="97">
        <v>4000</v>
      </c>
      <c r="E14" s="22">
        <f t="shared" si="0"/>
        <v>96.4929</v>
      </c>
      <c r="F14" s="97">
        <v>6000</v>
      </c>
      <c r="G14" s="23">
        <f t="shared" si="1"/>
        <v>144.73935</v>
      </c>
      <c r="H14" s="101">
        <v>8000</v>
      </c>
      <c r="I14" s="22">
        <f t="shared" si="2"/>
        <v>192.9858</v>
      </c>
      <c r="J14" s="97">
        <v>10000</v>
      </c>
      <c r="K14" s="23">
        <f t="shared" si="3"/>
        <v>241.23225000000002</v>
      </c>
      <c r="L14" s="26"/>
      <c r="M14" s="25"/>
    </row>
    <row r="15" spans="1:13" ht="12.75">
      <c r="A15" s="18" t="s">
        <v>170</v>
      </c>
      <c r="B15" s="19" t="s">
        <v>16</v>
      </c>
      <c r="C15" s="22">
        <f>'Intro - Prices'!E23</f>
        <v>139.341</v>
      </c>
      <c r="D15" s="96">
        <v>1</v>
      </c>
      <c r="E15" s="22">
        <f>C15*D15</f>
        <v>139.341</v>
      </c>
      <c r="F15" s="96">
        <v>1</v>
      </c>
      <c r="G15" s="23">
        <f>C15*F15</f>
        <v>139.341</v>
      </c>
      <c r="H15" s="100">
        <v>1</v>
      </c>
      <c r="I15" s="22">
        <f>C15*H15</f>
        <v>139.341</v>
      </c>
      <c r="J15" s="96">
        <v>1</v>
      </c>
      <c r="K15" s="23">
        <f>C15*J15</f>
        <v>139.341</v>
      </c>
      <c r="L15" s="26"/>
      <c r="M15" s="25"/>
    </row>
    <row r="16" spans="1:13" ht="12.75">
      <c r="A16" s="18" t="s">
        <v>171</v>
      </c>
      <c r="B16" s="19" t="s">
        <v>16</v>
      </c>
      <c r="C16" s="22">
        <f>'Intro - Prices'!E25</f>
        <v>9.611</v>
      </c>
      <c r="D16" s="96">
        <v>2</v>
      </c>
      <c r="E16" s="22">
        <f>C16*D16</f>
        <v>19.222</v>
      </c>
      <c r="F16" s="96">
        <v>2</v>
      </c>
      <c r="G16" s="23">
        <f>C16*F16</f>
        <v>19.222</v>
      </c>
      <c r="H16" s="100">
        <v>2</v>
      </c>
      <c r="I16" s="22">
        <f>C16*H16</f>
        <v>19.222</v>
      </c>
      <c r="J16" s="96">
        <v>2</v>
      </c>
      <c r="K16" s="23">
        <f>C16*J16</f>
        <v>19.222</v>
      </c>
      <c r="L16" s="26"/>
      <c r="M16" s="25"/>
    </row>
    <row r="17" spans="1:13" ht="12.75">
      <c r="A17" s="18" t="s">
        <v>172</v>
      </c>
      <c r="B17" s="19" t="s">
        <v>16</v>
      </c>
      <c r="C17" s="22">
        <f>'Intro - Prices'!E30</f>
        <v>6.439125000000001</v>
      </c>
      <c r="D17" s="96">
        <v>4</v>
      </c>
      <c r="E17" s="22">
        <f t="shared" si="0"/>
        <v>25.756500000000003</v>
      </c>
      <c r="F17" s="96">
        <v>6</v>
      </c>
      <c r="G17" s="23">
        <f t="shared" si="1"/>
        <v>38.634750000000004</v>
      </c>
      <c r="H17" s="100">
        <v>8</v>
      </c>
      <c r="I17" s="22">
        <f t="shared" si="2"/>
        <v>51.513000000000005</v>
      </c>
      <c r="J17" s="96">
        <v>10</v>
      </c>
      <c r="K17" s="23">
        <f t="shared" si="3"/>
        <v>64.39125000000001</v>
      </c>
      <c r="L17" s="26"/>
      <c r="M17" s="25"/>
    </row>
    <row r="18" spans="1:13" ht="12.75">
      <c r="A18" s="18" t="s">
        <v>173</v>
      </c>
      <c r="B18" s="19" t="s">
        <v>16</v>
      </c>
      <c r="C18" s="22">
        <f>'Intro - Prices'!E31</f>
        <v>3.0975000000000006</v>
      </c>
      <c r="D18" s="96">
        <v>4</v>
      </c>
      <c r="E18" s="22">
        <f t="shared" si="0"/>
        <v>12.390000000000002</v>
      </c>
      <c r="F18" s="96">
        <v>6</v>
      </c>
      <c r="G18" s="23">
        <f t="shared" si="1"/>
        <v>18.585000000000004</v>
      </c>
      <c r="H18" s="100">
        <v>8</v>
      </c>
      <c r="I18" s="22">
        <f t="shared" si="2"/>
        <v>24.780000000000005</v>
      </c>
      <c r="J18" s="96">
        <v>10</v>
      </c>
      <c r="K18" s="23">
        <f t="shared" si="3"/>
        <v>30.975000000000005</v>
      </c>
      <c r="L18" s="26"/>
      <c r="M18" s="25"/>
    </row>
    <row r="19" spans="1:13" ht="12.75">
      <c r="A19" s="18" t="s">
        <v>186</v>
      </c>
      <c r="B19" s="19" t="s">
        <v>16</v>
      </c>
      <c r="C19" s="22">
        <f>'Intro - Prices'!E32</f>
        <v>2.3940000000000006</v>
      </c>
      <c r="D19" s="96">
        <v>6</v>
      </c>
      <c r="E19" s="22">
        <f t="shared" si="0"/>
        <v>14.364000000000004</v>
      </c>
      <c r="F19" s="96">
        <v>8</v>
      </c>
      <c r="G19" s="23">
        <f t="shared" si="1"/>
        <v>19.152000000000005</v>
      </c>
      <c r="H19" s="100">
        <f>H10</f>
        <v>8</v>
      </c>
      <c r="I19" s="22">
        <f t="shared" si="2"/>
        <v>19.152000000000005</v>
      </c>
      <c r="J19" s="96">
        <f>J10</f>
        <v>8</v>
      </c>
      <c r="K19" s="23">
        <f t="shared" si="3"/>
        <v>19.152000000000005</v>
      </c>
      <c r="L19" s="26"/>
      <c r="M19" s="25"/>
    </row>
    <row r="20" spans="1:13" ht="12.75">
      <c r="A20" s="18" t="s">
        <v>175</v>
      </c>
      <c r="B20" s="19" t="s">
        <v>16</v>
      </c>
      <c r="C20" s="22">
        <f>'Intro - Prices'!E33</f>
        <v>3.454500000000001</v>
      </c>
      <c r="D20" s="96">
        <v>67</v>
      </c>
      <c r="E20" s="22">
        <f t="shared" si="0"/>
        <v>231.45150000000007</v>
      </c>
      <c r="F20" s="96">
        <v>66</v>
      </c>
      <c r="G20" s="23">
        <f t="shared" si="1"/>
        <v>227.99700000000004</v>
      </c>
      <c r="H20" s="100">
        <v>66</v>
      </c>
      <c r="I20" s="22">
        <f t="shared" si="2"/>
        <v>227.99700000000004</v>
      </c>
      <c r="J20" s="96">
        <v>66</v>
      </c>
      <c r="K20" s="23">
        <f t="shared" si="3"/>
        <v>227.99700000000004</v>
      </c>
      <c r="L20" s="26"/>
      <c r="M20" s="25"/>
    </row>
    <row r="21" spans="1:13" ht="12.75">
      <c r="A21" s="18" t="s">
        <v>176</v>
      </c>
      <c r="B21" s="19" t="s">
        <v>16</v>
      </c>
      <c r="C21" s="22">
        <f>'Intro - Prices'!E34</f>
        <v>0.11812500000000002</v>
      </c>
      <c r="D21" s="96">
        <f>D20*4</f>
        <v>268</v>
      </c>
      <c r="E21" s="22">
        <f t="shared" si="0"/>
        <v>31.657500000000006</v>
      </c>
      <c r="F21" s="96">
        <v>360</v>
      </c>
      <c r="G21" s="23">
        <f t="shared" si="1"/>
        <v>42.525000000000006</v>
      </c>
      <c r="H21" s="100">
        <v>480</v>
      </c>
      <c r="I21" s="22">
        <f t="shared" si="2"/>
        <v>56.70000000000001</v>
      </c>
      <c r="J21" s="96">
        <v>600</v>
      </c>
      <c r="K21" s="23">
        <f t="shared" si="3"/>
        <v>70.87500000000001</v>
      </c>
      <c r="L21" s="26"/>
      <c r="M21" s="25"/>
    </row>
    <row r="22" spans="1:13" ht="12.75">
      <c r="A22" s="18" t="s">
        <v>177</v>
      </c>
      <c r="B22" s="19" t="s">
        <v>16</v>
      </c>
      <c r="C22" s="22">
        <f>'Intro - Prices'!E35</f>
        <v>0.1715</v>
      </c>
      <c r="D22" s="96">
        <v>24</v>
      </c>
      <c r="E22" s="22">
        <f t="shared" si="0"/>
        <v>4.1160000000000005</v>
      </c>
      <c r="F22" s="96">
        <v>36</v>
      </c>
      <c r="G22" s="23">
        <f t="shared" si="1"/>
        <v>6.174</v>
      </c>
      <c r="H22" s="100">
        <v>48</v>
      </c>
      <c r="I22" s="22">
        <f t="shared" si="2"/>
        <v>8.232000000000001</v>
      </c>
      <c r="J22" s="96">
        <v>60</v>
      </c>
      <c r="K22" s="23">
        <f t="shared" si="3"/>
        <v>10.290000000000001</v>
      </c>
      <c r="L22" s="26"/>
      <c r="M22" s="25"/>
    </row>
    <row r="23" spans="1:13" ht="12.75">
      <c r="A23" s="18" t="s">
        <v>178</v>
      </c>
      <c r="B23" s="19" t="s">
        <v>25</v>
      </c>
      <c r="C23" s="22">
        <f>'Intro - Prices'!E38</f>
        <v>2.1515725</v>
      </c>
      <c r="D23" s="96">
        <f>0.0156*(D8+D9)*4*1.01</f>
        <v>2.647008</v>
      </c>
      <c r="E23" s="22">
        <f t="shared" si="0"/>
        <v>5.69522962008</v>
      </c>
      <c r="F23" s="96">
        <f>0.0156*(F8+F9)*6*1.01</f>
        <v>4.065048</v>
      </c>
      <c r="G23" s="23">
        <f t="shared" si="1"/>
        <v>8.74624548798</v>
      </c>
      <c r="H23" s="96">
        <f>0.0156*(H8+H9)*8*1.01</f>
        <v>5.420064</v>
      </c>
      <c r="I23" s="22">
        <f t="shared" si="2"/>
        <v>11.66166065064</v>
      </c>
      <c r="J23" s="96">
        <f>0.0156*(J8+J9)*10*1.01</f>
        <v>6.775079999999999</v>
      </c>
      <c r="K23" s="23">
        <f t="shared" si="3"/>
        <v>14.577075813299997</v>
      </c>
      <c r="L23" s="26"/>
      <c r="M23" s="25"/>
    </row>
    <row r="24" spans="1:13" ht="12.75">
      <c r="A24" s="132" t="s">
        <v>214</v>
      </c>
      <c r="B24" s="19" t="s">
        <v>26</v>
      </c>
      <c r="C24" s="22">
        <f>'Intro - Prices'!E40</f>
        <v>95</v>
      </c>
      <c r="D24" s="96">
        <f>((D8*8)+(D9*6))/60</f>
        <v>4.533333333333333</v>
      </c>
      <c r="E24" s="22">
        <f t="shared" si="0"/>
        <v>430.66666666666663</v>
      </c>
      <c r="F24" s="96">
        <f>((F8*8)+(F9*6))/60</f>
        <v>4.7</v>
      </c>
      <c r="G24" s="23">
        <f t="shared" si="1"/>
        <v>446.5</v>
      </c>
      <c r="H24" s="100">
        <f>((H8*8)+(H9*6))/60</f>
        <v>4.7</v>
      </c>
      <c r="I24" s="22">
        <f t="shared" si="2"/>
        <v>446.5</v>
      </c>
      <c r="J24" s="96">
        <f>((J8*8)+(J9*6))/60</f>
        <v>4.7</v>
      </c>
      <c r="K24" s="23">
        <f t="shared" si="3"/>
        <v>446.5</v>
      </c>
      <c r="L24" s="26"/>
      <c r="M24" s="25"/>
    </row>
    <row r="25" spans="1:13" ht="12.75">
      <c r="A25" s="132" t="s">
        <v>216</v>
      </c>
      <c r="B25" s="19" t="s">
        <v>26</v>
      </c>
      <c r="C25" s="22">
        <f>'Intro - Prices'!E41</f>
        <v>40</v>
      </c>
      <c r="D25" s="96">
        <f>(D10*0.75)+((D8+D9)*4/60)+(D20*2/60)+(D14/1000*0.65)+0.3</f>
        <v>12.433333333333334</v>
      </c>
      <c r="E25" s="22">
        <f t="shared" si="0"/>
        <v>497.33333333333337</v>
      </c>
      <c r="F25" s="96">
        <f>(F10*1.25)+((F8+F9)*6/60)+(F20*2/60)+(F14/1000*0.65)+0.3</f>
        <v>20.7</v>
      </c>
      <c r="G25" s="23">
        <f t="shared" si="1"/>
        <v>828</v>
      </c>
      <c r="H25" s="96">
        <f>(H10*1.25)+((H8+H9)*8/60)+(H20*2/60)+(H14/1000*0.65)+0.3</f>
        <v>23.433333333333334</v>
      </c>
      <c r="I25" s="22">
        <f t="shared" si="2"/>
        <v>937.3333333333334</v>
      </c>
      <c r="J25" s="96">
        <f>(J10*1.25)+((J8+J9)*10/60)+(J20*2/60)+(J14/1000*0.65)+0.3</f>
        <v>26.166666666666668</v>
      </c>
      <c r="K25" s="23">
        <f t="shared" si="3"/>
        <v>1046.6666666666667</v>
      </c>
      <c r="L25" s="26"/>
      <c r="M25" s="25"/>
    </row>
    <row r="26" spans="1:13" ht="12.75">
      <c r="A26" s="107" t="s">
        <v>187</v>
      </c>
      <c r="B26" s="110"/>
      <c r="C26" s="108">
        <f>'Intro - Prices'!E42</f>
        <v>0</v>
      </c>
      <c r="D26" s="98">
        <v>0</v>
      </c>
      <c r="E26" s="108">
        <f t="shared" si="0"/>
        <v>0</v>
      </c>
      <c r="F26" s="98">
        <v>0</v>
      </c>
      <c r="G26" s="109">
        <f t="shared" si="1"/>
        <v>0</v>
      </c>
      <c r="H26" s="112">
        <v>0</v>
      </c>
      <c r="I26" s="108">
        <f t="shared" si="2"/>
        <v>0</v>
      </c>
      <c r="J26" s="98">
        <v>0</v>
      </c>
      <c r="K26" s="109">
        <f t="shared" si="3"/>
        <v>0</v>
      </c>
      <c r="L26" s="26"/>
      <c r="M26" s="25"/>
    </row>
    <row r="27" spans="1:13" ht="12.75">
      <c r="A27" s="28"/>
      <c r="B27" s="26"/>
      <c r="C27" s="20"/>
      <c r="D27" s="29"/>
      <c r="E27" s="15"/>
      <c r="F27" s="21"/>
      <c r="G27" s="23"/>
      <c r="H27" s="29"/>
      <c r="I27" s="22"/>
      <c r="J27" s="21"/>
      <c r="K27" s="23"/>
      <c r="L27" s="26"/>
      <c r="M27" s="50"/>
    </row>
    <row r="28" spans="1:13" ht="12.75">
      <c r="A28" s="106" t="s">
        <v>182</v>
      </c>
      <c r="B28" s="51" t="s">
        <v>41</v>
      </c>
      <c r="C28" s="52"/>
      <c r="D28" s="52"/>
      <c r="E28" s="23">
        <f>SUM(E8:E23)</f>
        <v>1070.1346851756357</v>
      </c>
      <c r="F28" s="32"/>
      <c r="G28" s="23">
        <f>SUM(G8:G23)</f>
        <v>1197.8574121546471</v>
      </c>
      <c r="H28" s="22"/>
      <c r="I28" s="22">
        <f>SUM(I8:I23)</f>
        <v>1284.3255273173068</v>
      </c>
      <c r="J28" s="32"/>
      <c r="K28" s="23">
        <f>SUM(K8:K23)</f>
        <v>1370.7936424799668</v>
      </c>
      <c r="L28" s="26"/>
      <c r="M28" s="53"/>
    </row>
    <row r="29" spans="1:13" ht="12.75">
      <c r="A29" s="28"/>
      <c r="B29" s="51" t="s">
        <v>42</v>
      </c>
      <c r="C29" s="52"/>
      <c r="D29" s="52"/>
      <c r="E29" s="34">
        <f>E28/1000</f>
        <v>1.0701346851756357</v>
      </c>
      <c r="F29" s="35"/>
      <c r="G29" s="34">
        <f>G28/1000</f>
        <v>1.197857412154647</v>
      </c>
      <c r="H29" s="54"/>
      <c r="I29" s="54">
        <f>I28/1000</f>
        <v>1.2843255273173066</v>
      </c>
      <c r="J29" s="35"/>
      <c r="K29" s="34">
        <f>K28/1000</f>
        <v>1.3707936424799667</v>
      </c>
      <c r="L29" s="26"/>
      <c r="M29" s="55"/>
    </row>
    <row r="30" spans="1:13" ht="12.75">
      <c r="A30" s="28"/>
      <c r="B30" s="52"/>
      <c r="C30" s="52"/>
      <c r="D30" s="52"/>
      <c r="E30" s="23"/>
      <c r="F30" s="32"/>
      <c r="G30" s="23"/>
      <c r="H30" s="22"/>
      <c r="I30" s="22"/>
      <c r="J30" s="32"/>
      <c r="K30" s="23"/>
      <c r="L30" s="26"/>
      <c r="M30" s="50"/>
    </row>
    <row r="31" spans="1:13" ht="12.75">
      <c r="A31" s="28"/>
      <c r="B31" s="52" t="s">
        <v>30</v>
      </c>
      <c r="C31" s="52"/>
      <c r="D31" s="52"/>
      <c r="E31" s="23">
        <f>E24+E25</f>
        <v>928</v>
      </c>
      <c r="F31" s="32"/>
      <c r="G31" s="23">
        <f>G24+G25</f>
        <v>1274.5</v>
      </c>
      <c r="H31" s="22"/>
      <c r="I31" s="22">
        <f>I24+I25</f>
        <v>1383.8333333333335</v>
      </c>
      <c r="J31" s="32"/>
      <c r="K31" s="23">
        <f>K24+K25</f>
        <v>1493.1666666666667</v>
      </c>
      <c r="L31" s="26"/>
      <c r="M31" s="53"/>
    </row>
    <row r="32" spans="1:13" ht="12.75">
      <c r="A32" s="28"/>
      <c r="B32" s="52" t="s">
        <v>31</v>
      </c>
      <c r="C32" s="52"/>
      <c r="D32" s="52"/>
      <c r="E32" s="34">
        <f>E31/1000</f>
        <v>0.928</v>
      </c>
      <c r="F32" s="35"/>
      <c r="G32" s="34">
        <f>G31/1000</f>
        <v>1.2745</v>
      </c>
      <c r="H32" s="54"/>
      <c r="I32" s="54">
        <f>I31/1000</f>
        <v>1.3838333333333335</v>
      </c>
      <c r="J32" s="35"/>
      <c r="K32" s="34">
        <f>K31/1000</f>
        <v>1.4931666666666668</v>
      </c>
      <c r="L32" s="26"/>
      <c r="M32" s="55"/>
    </row>
    <row r="33" spans="1:13" ht="12.75">
      <c r="A33" s="28"/>
      <c r="B33" s="52"/>
      <c r="C33" s="52"/>
      <c r="D33" s="52"/>
      <c r="E33" s="23"/>
      <c r="F33" s="32"/>
      <c r="G33" s="23"/>
      <c r="H33" s="22"/>
      <c r="I33" s="22"/>
      <c r="J33" s="32"/>
      <c r="K33" s="23"/>
      <c r="L33" s="26"/>
      <c r="M33" s="50"/>
    </row>
    <row r="34" spans="1:13" ht="12.75">
      <c r="A34" s="28"/>
      <c r="B34" s="52" t="s">
        <v>43</v>
      </c>
      <c r="C34" s="52"/>
      <c r="D34" s="52"/>
      <c r="E34" s="23">
        <f>SUM(E6:E27)</f>
        <v>1998.1346851756357</v>
      </c>
      <c r="F34" s="32"/>
      <c r="G34" s="23">
        <f>SUM(G6:G27)</f>
        <v>2472.357412154647</v>
      </c>
      <c r="H34" s="22"/>
      <c r="I34" s="22">
        <f>SUM(I6:I27)</f>
        <v>2668.1588606506402</v>
      </c>
      <c r="J34" s="32"/>
      <c r="K34" s="23">
        <f>SUM(K6:K27)</f>
        <v>2863.9603091466333</v>
      </c>
      <c r="L34" s="26"/>
      <c r="M34" s="53"/>
    </row>
    <row r="35" spans="1:13" ht="13.5" thickBot="1">
      <c r="A35" s="37"/>
      <c r="B35" s="56" t="s">
        <v>44</v>
      </c>
      <c r="C35" s="56"/>
      <c r="D35" s="56"/>
      <c r="E35" s="86">
        <f>E34/1000</f>
        <v>1.9981346851756356</v>
      </c>
      <c r="F35" s="75"/>
      <c r="G35" s="86">
        <f>G34/1000</f>
        <v>2.472357412154647</v>
      </c>
      <c r="H35" s="57"/>
      <c r="I35" s="57">
        <f>I34/1000</f>
        <v>2.66815886065064</v>
      </c>
      <c r="J35" s="75"/>
      <c r="K35" s="86">
        <f>K34/1000</f>
        <v>2.8639603091466332</v>
      </c>
      <c r="L35" s="58"/>
      <c r="M35" s="59"/>
    </row>
    <row r="36" spans="3:11" ht="12.75">
      <c r="C36" s="60"/>
      <c r="D36" s="60"/>
      <c r="E36" s="61"/>
      <c r="F36" s="61"/>
      <c r="G36" s="61"/>
      <c r="H36" s="61"/>
      <c r="I36" s="61"/>
      <c r="J36" s="61"/>
      <c r="K36" s="61"/>
    </row>
    <row r="37" spans="1:12" ht="15">
      <c r="A37" s="81" t="s">
        <v>61</v>
      </c>
      <c r="B37" s="76"/>
      <c r="C37" s="26"/>
      <c r="D37" s="80" t="s">
        <v>70</v>
      </c>
      <c r="E37" s="77"/>
      <c r="F37" s="26"/>
      <c r="G37" s="26"/>
      <c r="H37" s="26"/>
      <c r="I37" s="52" t="s">
        <v>76</v>
      </c>
      <c r="J37" s="26"/>
      <c r="K37" s="26"/>
      <c r="L37" s="26"/>
    </row>
    <row r="38" spans="1:12" ht="12.75">
      <c r="A38" s="26" t="s">
        <v>62</v>
      </c>
      <c r="B38" s="26"/>
      <c r="C38" s="78"/>
      <c r="D38" s="26" t="s">
        <v>75</v>
      </c>
      <c r="E38" s="77"/>
      <c r="F38" s="26"/>
      <c r="G38" s="79"/>
      <c r="H38" s="26"/>
      <c r="I38" s="26" t="s">
        <v>86</v>
      </c>
      <c r="J38" s="26"/>
      <c r="K38" s="26"/>
      <c r="L38" s="26"/>
    </row>
    <row r="39" spans="1:12" ht="12.75">
      <c r="A39" s="26" t="s">
        <v>83</v>
      </c>
      <c r="B39" s="26"/>
      <c r="C39" s="78"/>
      <c r="D39" s="26" t="s">
        <v>82</v>
      </c>
      <c r="E39" s="26"/>
      <c r="F39" s="26"/>
      <c r="G39" s="26"/>
      <c r="H39" s="26"/>
      <c r="I39" s="26" t="s">
        <v>87</v>
      </c>
      <c r="J39" s="26"/>
      <c r="K39" s="26"/>
      <c r="L39" s="26"/>
    </row>
    <row r="40" spans="1:12" ht="12.75">
      <c r="A40" s="26" t="s">
        <v>110</v>
      </c>
      <c r="B40" s="26"/>
      <c r="C40" s="26"/>
      <c r="D40" s="26" t="s">
        <v>71</v>
      </c>
      <c r="E40" s="26"/>
      <c r="F40" s="26"/>
      <c r="G40" s="26"/>
      <c r="H40" s="26"/>
      <c r="I40" s="26" t="s">
        <v>88</v>
      </c>
      <c r="J40" s="26"/>
      <c r="K40" s="26"/>
      <c r="L40" s="26"/>
    </row>
    <row r="41" spans="1:12" ht="12.75">
      <c r="A41" s="26" t="s">
        <v>111</v>
      </c>
      <c r="B41" s="26"/>
      <c r="C41" s="26"/>
      <c r="D41" s="26" t="s">
        <v>72</v>
      </c>
      <c r="E41" s="26"/>
      <c r="F41" s="30"/>
      <c r="G41" s="26"/>
      <c r="H41" s="26"/>
      <c r="I41" s="26" t="s">
        <v>89</v>
      </c>
      <c r="J41" s="26"/>
      <c r="K41" s="26"/>
      <c r="L41" s="26"/>
    </row>
    <row r="42" spans="1:12" ht="12.75">
      <c r="A42" s="26" t="s">
        <v>65</v>
      </c>
      <c r="B42" s="26"/>
      <c r="C42" s="26"/>
      <c r="D42" s="26" t="s">
        <v>74</v>
      </c>
      <c r="E42" s="26"/>
      <c r="F42" s="19"/>
      <c r="G42" s="26"/>
      <c r="H42" s="26"/>
      <c r="I42" s="26"/>
      <c r="J42" s="26"/>
      <c r="K42" s="26"/>
      <c r="L42" s="26"/>
    </row>
    <row r="43" spans="1:12" ht="12.75">
      <c r="A43" s="26" t="s">
        <v>108</v>
      </c>
      <c r="B43" s="26"/>
      <c r="C43" s="26"/>
      <c r="E43" s="26"/>
      <c r="F43" s="19"/>
      <c r="G43" s="26"/>
      <c r="H43" s="26"/>
      <c r="I43" s="26"/>
      <c r="J43" s="26"/>
      <c r="K43" s="26"/>
      <c r="L43" s="26"/>
    </row>
    <row r="44" spans="1:12" ht="12.75">
      <c r="A44" s="26" t="s">
        <v>109</v>
      </c>
      <c r="B44" s="26"/>
      <c r="C44" s="26"/>
      <c r="D44" s="26"/>
      <c r="E44" s="26"/>
      <c r="F44" s="19"/>
      <c r="G44" s="26"/>
      <c r="H44" s="26"/>
      <c r="I44" s="26"/>
      <c r="J44" s="26"/>
      <c r="K44" s="26"/>
      <c r="L44" s="26"/>
    </row>
    <row r="45" spans="1:12" ht="12.75">
      <c r="A45" s="19" t="s">
        <v>68</v>
      </c>
      <c r="B45" s="26"/>
      <c r="C45" s="26"/>
      <c r="D45" s="26"/>
      <c r="E45" s="26"/>
      <c r="F45" s="30"/>
      <c r="G45" s="26"/>
      <c r="H45" s="26"/>
      <c r="I45" s="26"/>
      <c r="J45" s="26"/>
      <c r="K45" s="26"/>
      <c r="L45" s="26"/>
    </row>
    <row r="46" spans="1:11" ht="12.75">
      <c r="A46" s="44"/>
      <c r="C46" s="147"/>
      <c r="D46" s="147"/>
      <c r="E46" s="147"/>
      <c r="F46" s="147"/>
      <c r="G46" s="62"/>
      <c r="H46" s="62"/>
      <c r="I46" s="62"/>
      <c r="J46" s="62"/>
      <c r="K46" s="62"/>
    </row>
    <row r="47" spans="1:6" ht="12.75">
      <c r="A47" s="133" t="s">
        <v>220</v>
      </c>
      <c r="C47" s="30"/>
      <c r="D47" s="30"/>
      <c r="E47" s="30"/>
      <c r="F47" s="30"/>
    </row>
    <row r="48" spans="1:6" ht="12.75">
      <c r="A48" s="133" t="s">
        <v>219</v>
      </c>
      <c r="C48" s="64"/>
      <c r="D48" s="63"/>
      <c r="E48" s="65"/>
      <c r="F48" s="66"/>
    </row>
    <row r="49" spans="3:6" ht="12.75">
      <c r="C49" s="147"/>
      <c r="D49" s="147"/>
      <c r="E49" s="147"/>
      <c r="F49" s="147"/>
    </row>
    <row r="50" spans="3:6" ht="12.75">
      <c r="C50" s="147"/>
      <c r="D50" s="147"/>
      <c r="E50" s="147"/>
      <c r="F50" s="147"/>
    </row>
    <row r="51" spans="1:6" ht="12.75">
      <c r="A51" s="44"/>
      <c r="F51" s="44"/>
    </row>
    <row r="52" ht="12.75">
      <c r="A52" s="44"/>
    </row>
    <row r="106" ht="12.75">
      <c r="A106" s="44"/>
    </row>
  </sheetData>
  <sheetProtection/>
  <mergeCells count="16">
    <mergeCell ref="H7:I7"/>
    <mergeCell ref="J7:K7"/>
    <mergeCell ref="D4:E4"/>
    <mergeCell ref="F4:G4"/>
    <mergeCell ref="H4:I4"/>
    <mergeCell ref="J4:K4"/>
    <mergeCell ref="C49:F49"/>
    <mergeCell ref="C50:F50"/>
    <mergeCell ref="L3:M3"/>
    <mergeCell ref="C46:F46"/>
    <mergeCell ref="D3:E3"/>
    <mergeCell ref="F3:G3"/>
    <mergeCell ref="H3:I3"/>
    <mergeCell ref="J3:K3"/>
    <mergeCell ref="D7:E7"/>
    <mergeCell ref="F7:G7"/>
  </mergeCells>
  <printOptions/>
  <pageMargins left="0.75" right="0.75" top="1" bottom="1" header="0.5" footer="0.5"/>
  <pageSetup fitToHeight="1" fitToWidth="1" horizontalDpi="600" verticalDpi="600" orientation="landscape" scale="87"/>
  <ignoredErrors>
    <ignoredError sqref="E13 E24 G13 G19 G24 I13 I19 I24:I25"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30">
      <selection activeCell="A46" sqref="A46:A47"/>
    </sheetView>
  </sheetViews>
  <sheetFormatPr defaultColWidth="9.625" defaultRowHeight="12.75"/>
  <cols>
    <col min="1" max="1" width="30.625" style="1" customWidth="1"/>
    <col min="2" max="2" width="8.625" style="1" customWidth="1"/>
    <col min="3" max="3" width="9.00390625" style="1" customWidth="1"/>
    <col min="4" max="5" width="10.625" style="1" customWidth="1"/>
    <col min="6" max="6" width="9.125" style="1" customWidth="1"/>
    <col min="7" max="7" width="10.875" style="1" customWidth="1"/>
    <col min="8" max="8" width="9.625" style="1" customWidth="1"/>
    <col min="9" max="9" width="10.125" style="1" customWidth="1"/>
    <col min="10" max="10" width="9.625" style="1" customWidth="1"/>
    <col min="11" max="11" width="9.375" style="1" customWidth="1"/>
    <col min="12" max="12" width="9.625" style="1" customWidth="1"/>
    <col min="13" max="13" width="10.375" style="1" customWidth="1"/>
    <col min="14" max="16384" width="9.625" style="1" customWidth="1"/>
  </cols>
  <sheetData>
    <row r="1" ht="18.75" customHeight="1">
      <c r="A1" s="69" t="s">
        <v>162</v>
      </c>
    </row>
    <row r="2" spans="2:13" ht="16.5">
      <c r="B2" s="47"/>
      <c r="D2" s="148" t="s">
        <v>113</v>
      </c>
      <c r="E2" s="148"/>
      <c r="F2" s="148" t="s">
        <v>112</v>
      </c>
      <c r="G2" s="148"/>
      <c r="H2" s="148" t="s">
        <v>47</v>
      </c>
      <c r="I2" s="148"/>
      <c r="J2" s="148" t="s">
        <v>48</v>
      </c>
      <c r="K2" s="148"/>
      <c r="L2" s="5" t="s">
        <v>38</v>
      </c>
      <c r="M2" s="5"/>
    </row>
    <row r="3" spans="1:11" ht="12.75">
      <c r="A3" s="89" t="s">
        <v>120</v>
      </c>
      <c r="D3" s="152" t="s">
        <v>117</v>
      </c>
      <c r="E3" s="152"/>
      <c r="F3" s="152" t="s">
        <v>117</v>
      </c>
      <c r="G3" s="152"/>
      <c r="H3" s="152" t="s">
        <v>125</v>
      </c>
      <c r="I3" s="152"/>
      <c r="J3" s="152" t="s">
        <v>125</v>
      </c>
      <c r="K3" s="152"/>
    </row>
    <row r="4" ht="12.75"/>
    <row r="5" spans="1:13" ht="12.75">
      <c r="A5" s="7" t="s">
        <v>11</v>
      </c>
      <c r="B5" s="7" t="s">
        <v>12</v>
      </c>
      <c r="C5" s="8" t="s">
        <v>13</v>
      </c>
      <c r="D5" s="8" t="s">
        <v>55</v>
      </c>
      <c r="E5" s="8" t="s">
        <v>14</v>
      </c>
      <c r="F5" s="8" t="s">
        <v>55</v>
      </c>
      <c r="G5" s="8" t="s">
        <v>14</v>
      </c>
      <c r="H5" s="8" t="s">
        <v>55</v>
      </c>
      <c r="I5" s="8" t="s">
        <v>14</v>
      </c>
      <c r="J5" s="8" t="s">
        <v>55</v>
      </c>
      <c r="K5" s="8" t="s">
        <v>14</v>
      </c>
      <c r="L5" s="8" t="s">
        <v>55</v>
      </c>
      <c r="M5" s="8" t="s">
        <v>14</v>
      </c>
    </row>
    <row r="6" spans="6:11" ht="13.5" thickBot="1">
      <c r="F6" s="58"/>
      <c r="G6" s="58"/>
      <c r="J6" s="58"/>
      <c r="K6" s="58"/>
    </row>
    <row r="7" spans="1:13" ht="21" customHeight="1">
      <c r="A7" s="114" t="s">
        <v>163</v>
      </c>
      <c r="B7" s="12" t="s">
        <v>16</v>
      </c>
      <c r="C7" s="14">
        <f>'Intro - Prices'!E7</f>
        <v>13.549500000000002</v>
      </c>
      <c r="D7" s="95">
        <v>8</v>
      </c>
      <c r="E7" s="14">
        <f aca="true" t="shared" si="0" ref="E7:E25">C7*D7</f>
        <v>108.39600000000002</v>
      </c>
      <c r="F7" s="96">
        <v>8</v>
      </c>
      <c r="G7" s="23">
        <f aca="true" t="shared" si="1" ref="G7:G25">C7*F7</f>
        <v>108.39600000000002</v>
      </c>
      <c r="H7" s="99">
        <v>12</v>
      </c>
      <c r="I7" s="14">
        <f aca="true" t="shared" si="2" ref="I7:I25">C7*H7</f>
        <v>162.59400000000002</v>
      </c>
      <c r="J7" s="96">
        <v>12</v>
      </c>
      <c r="K7" s="23">
        <f aca="true" t="shared" si="3" ref="K7:K25">C7*J7</f>
        <v>162.59400000000002</v>
      </c>
      <c r="L7" s="49"/>
      <c r="M7" s="68"/>
    </row>
    <row r="8" spans="1:13" ht="12.75">
      <c r="A8" s="115" t="s">
        <v>164</v>
      </c>
      <c r="B8" s="19" t="s">
        <v>16</v>
      </c>
      <c r="C8" s="22">
        <f>'Intro - Prices'!E9</f>
        <v>8.358</v>
      </c>
      <c r="D8" s="96">
        <v>19</v>
      </c>
      <c r="E8" s="22">
        <f t="shared" si="0"/>
        <v>158.80200000000002</v>
      </c>
      <c r="F8" s="96">
        <v>19</v>
      </c>
      <c r="G8" s="23">
        <f t="shared" si="1"/>
        <v>158.80200000000002</v>
      </c>
      <c r="H8" s="100">
        <v>19</v>
      </c>
      <c r="I8" s="22">
        <f t="shared" si="2"/>
        <v>158.80200000000002</v>
      </c>
      <c r="J8" s="96">
        <v>19</v>
      </c>
      <c r="K8" s="23">
        <f t="shared" si="3"/>
        <v>158.80200000000002</v>
      </c>
      <c r="L8" s="26"/>
      <c r="M8" s="53"/>
    </row>
    <row r="9" spans="1:13" ht="12.75">
      <c r="A9" s="115" t="s">
        <v>165</v>
      </c>
      <c r="B9" s="19" t="s">
        <v>16</v>
      </c>
      <c r="C9" s="22">
        <f>'Intro - Prices'!E14</f>
        <v>8.83225</v>
      </c>
      <c r="D9" s="96">
        <v>4</v>
      </c>
      <c r="E9" s="22">
        <f t="shared" si="0"/>
        <v>35.329</v>
      </c>
      <c r="F9" s="96">
        <v>4</v>
      </c>
      <c r="G9" s="23">
        <f t="shared" si="1"/>
        <v>35.329</v>
      </c>
      <c r="H9" s="100">
        <v>8</v>
      </c>
      <c r="I9" s="22">
        <f t="shared" si="2"/>
        <v>70.658</v>
      </c>
      <c r="J9" s="96">
        <v>8</v>
      </c>
      <c r="K9" s="23">
        <f t="shared" si="3"/>
        <v>70.658</v>
      </c>
      <c r="L9" s="26"/>
      <c r="M9" s="53"/>
    </row>
    <row r="10" spans="1:13" ht="12.75">
      <c r="A10" s="115" t="s">
        <v>166</v>
      </c>
      <c r="B10" s="19" t="s">
        <v>16</v>
      </c>
      <c r="C10" s="22">
        <f>'Intro - Prices'!E26</f>
        <v>0.931</v>
      </c>
      <c r="D10" s="96">
        <v>4</v>
      </c>
      <c r="E10" s="22">
        <f t="shared" si="0"/>
        <v>3.724</v>
      </c>
      <c r="F10" s="96">
        <v>4</v>
      </c>
      <c r="G10" s="23">
        <f t="shared" si="1"/>
        <v>3.724</v>
      </c>
      <c r="H10" s="100">
        <v>8</v>
      </c>
      <c r="I10" s="22">
        <f t="shared" si="2"/>
        <v>7.448</v>
      </c>
      <c r="J10" s="96">
        <v>8</v>
      </c>
      <c r="K10" s="23">
        <f t="shared" si="3"/>
        <v>7.448</v>
      </c>
      <c r="L10" s="26"/>
      <c r="M10" s="53"/>
    </row>
    <row r="11" spans="1:13" ht="12.75">
      <c r="A11" s="115" t="s">
        <v>167</v>
      </c>
      <c r="B11" s="19" t="s">
        <v>16</v>
      </c>
      <c r="C11" s="22">
        <f>'Intro - Prices'!E27</f>
        <v>0.6650000000000001</v>
      </c>
      <c r="D11" s="96">
        <v>4</v>
      </c>
      <c r="E11" s="22">
        <f t="shared" si="0"/>
        <v>2.6600000000000006</v>
      </c>
      <c r="F11" s="96">
        <v>4</v>
      </c>
      <c r="G11" s="23">
        <f t="shared" si="1"/>
        <v>2.6600000000000006</v>
      </c>
      <c r="H11" s="100">
        <v>6</v>
      </c>
      <c r="I11" s="22">
        <f t="shared" si="2"/>
        <v>3.990000000000001</v>
      </c>
      <c r="J11" s="96">
        <v>6</v>
      </c>
      <c r="K11" s="23">
        <f t="shared" si="3"/>
        <v>3.990000000000001</v>
      </c>
      <c r="L11" s="26"/>
      <c r="M11" s="53"/>
    </row>
    <row r="12" spans="1:13" ht="12.75">
      <c r="A12" s="115" t="s">
        <v>168</v>
      </c>
      <c r="B12" s="19" t="s">
        <v>23</v>
      </c>
      <c r="C12" s="94">
        <f>'Intro - Prices'!E28</f>
        <v>0.0603188888888889</v>
      </c>
      <c r="D12" s="96">
        <f>(D9+2)*40</f>
        <v>240</v>
      </c>
      <c r="E12" s="22">
        <f t="shared" si="0"/>
        <v>14.476533333333336</v>
      </c>
      <c r="F12" s="96">
        <f>(F9+2)*40</f>
        <v>240</v>
      </c>
      <c r="G12" s="23">
        <f t="shared" si="1"/>
        <v>14.476533333333336</v>
      </c>
      <c r="H12" s="100">
        <f>40*(H9+4)</f>
        <v>480</v>
      </c>
      <c r="I12" s="22">
        <f t="shared" si="2"/>
        <v>28.953066666666672</v>
      </c>
      <c r="J12" s="96">
        <f>40*(J9+4)</f>
        <v>480</v>
      </c>
      <c r="K12" s="23">
        <f t="shared" si="3"/>
        <v>28.953066666666672</v>
      </c>
      <c r="L12" s="26"/>
      <c r="M12" s="53"/>
    </row>
    <row r="13" spans="1:13" ht="12.75">
      <c r="A13" s="115" t="s">
        <v>169</v>
      </c>
      <c r="B13" s="19" t="s">
        <v>23</v>
      </c>
      <c r="C13" s="94">
        <f>'Intro - Prices'!E29</f>
        <v>0.024123225</v>
      </c>
      <c r="D13" s="97">
        <v>1000</v>
      </c>
      <c r="E13" s="22">
        <f t="shared" si="0"/>
        <v>24.123225</v>
      </c>
      <c r="F13" s="97">
        <v>2000</v>
      </c>
      <c r="G13" s="23">
        <f t="shared" si="1"/>
        <v>48.24645</v>
      </c>
      <c r="H13" s="101">
        <v>3000</v>
      </c>
      <c r="I13" s="22">
        <f t="shared" si="2"/>
        <v>72.369675</v>
      </c>
      <c r="J13" s="97">
        <v>5000</v>
      </c>
      <c r="K13" s="23">
        <f t="shared" si="3"/>
        <v>120.61612500000001</v>
      </c>
      <c r="L13" s="26"/>
      <c r="M13" s="53"/>
    </row>
    <row r="14" spans="1:13" ht="12.75">
      <c r="A14" s="115" t="s">
        <v>170</v>
      </c>
      <c r="B14" s="19" t="s">
        <v>16</v>
      </c>
      <c r="C14" s="22">
        <f>'Intro - Prices'!E23</f>
        <v>139.341</v>
      </c>
      <c r="D14" s="96">
        <v>1</v>
      </c>
      <c r="E14" s="22">
        <f>C14*D14</f>
        <v>139.341</v>
      </c>
      <c r="F14" s="96">
        <v>1</v>
      </c>
      <c r="G14" s="23">
        <f>C14*F14</f>
        <v>139.341</v>
      </c>
      <c r="H14" s="100">
        <v>1</v>
      </c>
      <c r="I14" s="22">
        <f>C14*H14</f>
        <v>139.341</v>
      </c>
      <c r="J14" s="96">
        <v>1</v>
      </c>
      <c r="K14" s="23">
        <f>C14*J14</f>
        <v>139.341</v>
      </c>
      <c r="L14" s="26"/>
      <c r="M14" s="53"/>
    </row>
    <row r="15" spans="1:13" ht="12.75">
      <c r="A15" s="115" t="s">
        <v>171</v>
      </c>
      <c r="B15" s="19" t="s">
        <v>16</v>
      </c>
      <c r="C15" s="22">
        <f>'Intro - Prices'!E25</f>
        <v>9.611</v>
      </c>
      <c r="D15" s="96">
        <v>2</v>
      </c>
      <c r="E15" s="22">
        <f>C15*D15</f>
        <v>19.222</v>
      </c>
      <c r="F15" s="96">
        <v>2</v>
      </c>
      <c r="G15" s="23">
        <f>C15*F15</f>
        <v>19.222</v>
      </c>
      <c r="H15" s="100">
        <v>2</v>
      </c>
      <c r="I15" s="22">
        <f>C15*H15</f>
        <v>19.222</v>
      </c>
      <c r="J15" s="96">
        <v>2</v>
      </c>
      <c r="K15" s="23">
        <f>C15*J15</f>
        <v>19.222</v>
      </c>
      <c r="L15" s="26"/>
      <c r="M15" s="53"/>
    </row>
    <row r="16" spans="1:13" ht="12.75">
      <c r="A16" s="115" t="s">
        <v>172</v>
      </c>
      <c r="B16" s="19" t="s">
        <v>16</v>
      </c>
      <c r="C16" s="22">
        <f>'Intro - Prices'!E30</f>
        <v>6.439125000000001</v>
      </c>
      <c r="D16" s="96">
        <v>1</v>
      </c>
      <c r="E16" s="22">
        <f t="shared" si="0"/>
        <v>6.439125000000001</v>
      </c>
      <c r="F16" s="96">
        <v>1</v>
      </c>
      <c r="G16" s="23">
        <f t="shared" si="1"/>
        <v>6.439125000000001</v>
      </c>
      <c r="H16" s="100">
        <v>1</v>
      </c>
      <c r="I16" s="22">
        <f t="shared" si="2"/>
        <v>6.439125000000001</v>
      </c>
      <c r="J16" s="96">
        <v>1</v>
      </c>
      <c r="K16" s="23">
        <f t="shared" si="3"/>
        <v>6.439125000000001</v>
      </c>
      <c r="L16" s="26"/>
      <c r="M16" s="53"/>
    </row>
    <row r="17" spans="1:13" ht="12.75">
      <c r="A17" s="115" t="s">
        <v>173</v>
      </c>
      <c r="B17" s="19" t="s">
        <v>16</v>
      </c>
      <c r="C17" s="22">
        <f>'Intro - Prices'!E31</f>
        <v>3.0975000000000006</v>
      </c>
      <c r="D17" s="96">
        <v>1</v>
      </c>
      <c r="E17" s="22">
        <f t="shared" si="0"/>
        <v>3.0975000000000006</v>
      </c>
      <c r="F17" s="96">
        <v>2</v>
      </c>
      <c r="G17" s="23">
        <f t="shared" si="1"/>
        <v>6.195000000000001</v>
      </c>
      <c r="H17" s="100">
        <v>3</v>
      </c>
      <c r="I17" s="22">
        <f t="shared" si="2"/>
        <v>9.292500000000002</v>
      </c>
      <c r="J17" s="96">
        <v>5</v>
      </c>
      <c r="K17" s="23">
        <f t="shared" si="3"/>
        <v>15.487500000000002</v>
      </c>
      <c r="L17" s="26"/>
      <c r="M17" s="53"/>
    </row>
    <row r="18" spans="1:13" ht="12.75">
      <c r="A18" s="115" t="s">
        <v>175</v>
      </c>
      <c r="B18" s="19" t="s">
        <v>16</v>
      </c>
      <c r="C18" s="22">
        <f>'Intro - Prices'!E33</f>
        <v>3.454500000000001</v>
      </c>
      <c r="D18" s="96">
        <v>0</v>
      </c>
      <c r="E18" s="22">
        <f t="shared" si="0"/>
        <v>0</v>
      </c>
      <c r="F18" s="96">
        <v>8</v>
      </c>
      <c r="G18" s="23">
        <f t="shared" si="1"/>
        <v>27.636000000000006</v>
      </c>
      <c r="H18" s="100">
        <v>15</v>
      </c>
      <c r="I18" s="22">
        <f t="shared" si="2"/>
        <v>51.81750000000001</v>
      </c>
      <c r="J18" s="96">
        <v>15</v>
      </c>
      <c r="K18" s="23">
        <f t="shared" si="3"/>
        <v>51.81750000000001</v>
      </c>
      <c r="L18" s="26"/>
      <c r="M18" s="53"/>
    </row>
    <row r="19" spans="1:13" ht="12.75">
      <c r="A19" s="115" t="s">
        <v>176</v>
      </c>
      <c r="B19" s="19" t="s">
        <v>16</v>
      </c>
      <c r="C19" s="22">
        <f>'Intro - Prices'!E34</f>
        <v>0.11812500000000002</v>
      </c>
      <c r="D19" s="96">
        <v>0</v>
      </c>
      <c r="E19" s="22">
        <f t="shared" si="0"/>
        <v>0</v>
      </c>
      <c r="F19" s="96">
        <f>F18*2</f>
        <v>16</v>
      </c>
      <c r="G19" s="23">
        <f t="shared" si="1"/>
        <v>1.8900000000000003</v>
      </c>
      <c r="H19" s="100">
        <f>H18*3</f>
        <v>45</v>
      </c>
      <c r="I19" s="22">
        <f t="shared" si="2"/>
        <v>5.315625000000001</v>
      </c>
      <c r="J19" s="96">
        <f>J18*5</f>
        <v>75</v>
      </c>
      <c r="K19" s="23">
        <f t="shared" si="3"/>
        <v>8.859375000000002</v>
      </c>
      <c r="L19" s="26"/>
      <c r="M19" s="53"/>
    </row>
    <row r="20" spans="1:13" ht="12.75">
      <c r="A20" s="115" t="s">
        <v>177</v>
      </c>
      <c r="B20" s="19" t="s">
        <v>16</v>
      </c>
      <c r="C20" s="22">
        <f>'Intro - Prices'!E35</f>
        <v>0.1715</v>
      </c>
      <c r="D20" s="96">
        <v>6</v>
      </c>
      <c r="E20" s="22">
        <f t="shared" si="0"/>
        <v>1.0290000000000001</v>
      </c>
      <c r="F20" s="96">
        <v>12</v>
      </c>
      <c r="G20" s="23">
        <f t="shared" si="1"/>
        <v>2.0580000000000003</v>
      </c>
      <c r="H20" s="100">
        <v>18</v>
      </c>
      <c r="I20" s="22">
        <f t="shared" si="2"/>
        <v>3.087</v>
      </c>
      <c r="J20" s="96">
        <v>30</v>
      </c>
      <c r="K20" s="23">
        <f t="shared" si="3"/>
        <v>5.1450000000000005</v>
      </c>
      <c r="L20" s="26"/>
      <c r="M20" s="53"/>
    </row>
    <row r="21" spans="1:13" ht="12.75">
      <c r="A21" s="115" t="s">
        <v>178</v>
      </c>
      <c r="B21" s="19" t="s">
        <v>25</v>
      </c>
      <c r="C21" s="22">
        <v>1.49</v>
      </c>
      <c r="D21" s="96">
        <f>D23*3/64</f>
        <v>0.1875</v>
      </c>
      <c r="E21" s="22">
        <f t="shared" si="0"/>
        <v>0.279375</v>
      </c>
      <c r="F21" s="96">
        <f>F23*3/64</f>
        <v>0.375</v>
      </c>
      <c r="G21" s="23">
        <f t="shared" si="1"/>
        <v>0.55875</v>
      </c>
      <c r="H21" s="96">
        <f>H23*3/64</f>
        <v>0.5625</v>
      </c>
      <c r="I21" s="22">
        <f t="shared" si="2"/>
        <v>0.838125</v>
      </c>
      <c r="J21" s="96">
        <f>J23*3/64</f>
        <v>0.9375</v>
      </c>
      <c r="K21" s="23">
        <f t="shared" si="3"/>
        <v>1.396875</v>
      </c>
      <c r="L21" s="26"/>
      <c r="M21" s="53"/>
    </row>
    <row r="22" spans="1:13" ht="12.75">
      <c r="A22" s="115" t="s">
        <v>179</v>
      </c>
      <c r="B22" s="19" t="s">
        <v>16</v>
      </c>
      <c r="C22" s="22">
        <f>'Intro - Prices'!E36</f>
        <v>0.372645</v>
      </c>
      <c r="D22" s="96">
        <f>D7+D8-2</f>
        <v>25</v>
      </c>
      <c r="E22" s="22">
        <f t="shared" si="0"/>
        <v>9.316125</v>
      </c>
      <c r="F22" s="96">
        <f>(F7+F8-2)*2</f>
        <v>50</v>
      </c>
      <c r="G22" s="23">
        <f t="shared" si="1"/>
        <v>18.63225</v>
      </c>
      <c r="H22" s="100">
        <f>(H7+H8-2)*3</f>
        <v>87</v>
      </c>
      <c r="I22" s="22">
        <f t="shared" si="2"/>
        <v>32.420115</v>
      </c>
      <c r="J22" s="96">
        <f>(J7+J8-2)*5</f>
        <v>145</v>
      </c>
      <c r="K22" s="23">
        <f t="shared" si="3"/>
        <v>54.033525</v>
      </c>
      <c r="L22" s="26"/>
      <c r="M22" s="53"/>
    </row>
    <row r="23" spans="1:13" ht="12.75">
      <c r="A23" s="115" t="s">
        <v>180</v>
      </c>
      <c r="B23" s="19" t="s">
        <v>16</v>
      </c>
      <c r="C23" s="22">
        <f>'Intro - Prices'!E37</f>
        <v>0.866145</v>
      </c>
      <c r="D23" s="96">
        <v>4</v>
      </c>
      <c r="E23" s="22">
        <f t="shared" si="0"/>
        <v>3.46458</v>
      </c>
      <c r="F23" s="96">
        <v>8</v>
      </c>
      <c r="G23" s="23">
        <f t="shared" si="1"/>
        <v>6.92916</v>
      </c>
      <c r="H23" s="100">
        <v>12</v>
      </c>
      <c r="I23" s="22">
        <f t="shared" si="2"/>
        <v>10.393740000000001</v>
      </c>
      <c r="J23" s="96">
        <v>20</v>
      </c>
      <c r="K23" s="23">
        <f t="shared" si="3"/>
        <v>17.3229</v>
      </c>
      <c r="L23" s="26"/>
      <c r="M23" s="53"/>
    </row>
    <row r="24" spans="1:13" ht="12.75">
      <c r="A24" s="132" t="s">
        <v>214</v>
      </c>
      <c r="B24" s="19" t="s">
        <v>26</v>
      </c>
      <c r="C24" s="22">
        <f>'Intro - Prices'!E40</f>
        <v>95</v>
      </c>
      <c r="D24" s="96">
        <f>((D7*8)+(D8*6))/60</f>
        <v>2.966666666666667</v>
      </c>
      <c r="E24" s="22">
        <f t="shared" si="0"/>
        <v>281.83333333333337</v>
      </c>
      <c r="F24" s="96">
        <f>D24</f>
        <v>2.966666666666667</v>
      </c>
      <c r="G24" s="23">
        <f t="shared" si="1"/>
        <v>281.83333333333337</v>
      </c>
      <c r="H24" s="100">
        <f>((H7*8)+(H8*6))/60</f>
        <v>3.5</v>
      </c>
      <c r="I24" s="22">
        <f t="shared" si="2"/>
        <v>332.5</v>
      </c>
      <c r="J24" s="96">
        <f>((J7*8)+(J8*6))/60</f>
        <v>3.5</v>
      </c>
      <c r="K24" s="23">
        <f t="shared" si="3"/>
        <v>332.5</v>
      </c>
      <c r="L24" s="26"/>
      <c r="M24" s="53"/>
    </row>
    <row r="25" spans="1:13" ht="12.75">
      <c r="A25" s="132" t="s">
        <v>216</v>
      </c>
      <c r="B25" s="104" t="s">
        <v>26</v>
      </c>
      <c r="C25" s="108">
        <f>'Intro - Prices'!E41</f>
        <v>40</v>
      </c>
      <c r="D25" s="98">
        <f>((D9*0.45)+((D7+D8)*2/60)+(D18*2/60)+(D13/1000*0.65))+0.3+2</f>
        <v>5.65</v>
      </c>
      <c r="E25" s="108">
        <f t="shared" si="0"/>
        <v>226</v>
      </c>
      <c r="F25" s="98">
        <f>((F9*0.45)+((F7+F8)*4/60)+(F18*2/60)+(F13/1000*0.65))+0.3+2</f>
        <v>7.466666666666667</v>
      </c>
      <c r="G25" s="109">
        <f t="shared" si="1"/>
        <v>298.6666666666667</v>
      </c>
      <c r="H25" s="98">
        <f>((H9/2*1.25)+((H7+H8)*6/60)+(H18*2/60)+(H13/1000*0.65))+0.3+2</f>
        <v>12.850000000000001</v>
      </c>
      <c r="I25" s="108">
        <f t="shared" si="2"/>
        <v>514</v>
      </c>
      <c r="J25" s="98">
        <f>((J9/2*1.25)+((J7+J8)*10/60)+(J18*2/60)+(J13/1000*0.65))+0.3+2</f>
        <v>16.21666666666667</v>
      </c>
      <c r="K25" s="109">
        <f t="shared" si="3"/>
        <v>648.6666666666667</v>
      </c>
      <c r="L25" s="26"/>
      <c r="M25" s="53"/>
    </row>
    <row r="26" spans="1:13" ht="12.75">
      <c r="A26" s="28"/>
      <c r="B26" s="26"/>
      <c r="C26" s="20"/>
      <c r="D26" s="29"/>
      <c r="E26" s="23"/>
      <c r="F26" s="21"/>
      <c r="G26" s="23"/>
      <c r="H26" s="29"/>
      <c r="I26" s="22"/>
      <c r="J26" s="21"/>
      <c r="K26" s="23"/>
      <c r="L26" s="26"/>
      <c r="M26" s="50"/>
    </row>
    <row r="27" spans="1:13" ht="12.75">
      <c r="A27" s="106" t="s">
        <v>181</v>
      </c>
      <c r="B27" s="30" t="s">
        <v>28</v>
      </c>
      <c r="C27" s="24"/>
      <c r="D27" s="29"/>
      <c r="E27" s="23">
        <f>SUM(E7:E23)</f>
        <v>529.6994633333333</v>
      </c>
      <c r="F27" s="32"/>
      <c r="G27" s="23">
        <f>SUM(G7:G23)</f>
        <v>600.5352683333334</v>
      </c>
      <c r="H27" s="22"/>
      <c r="I27" s="22">
        <f>SUM(I7:I23)</f>
        <v>782.9814716666667</v>
      </c>
      <c r="J27" s="32"/>
      <c r="K27" s="23">
        <f>SUM(K7:K23)</f>
        <v>872.1259916666667</v>
      </c>
      <c r="L27" s="26"/>
      <c r="M27" s="53"/>
    </row>
    <row r="28" spans="1:13" ht="12.75">
      <c r="A28" s="28"/>
      <c r="B28" s="30" t="s">
        <v>29</v>
      </c>
      <c r="C28" s="24"/>
      <c r="D28" s="29"/>
      <c r="E28" s="34">
        <f>E27/1000</f>
        <v>0.5296994633333333</v>
      </c>
      <c r="F28" s="35"/>
      <c r="G28" s="34">
        <f>G27/1000</f>
        <v>0.6005352683333334</v>
      </c>
      <c r="H28" s="54"/>
      <c r="I28" s="54">
        <f>I27/1000</f>
        <v>0.7829814716666668</v>
      </c>
      <c r="J28" s="35"/>
      <c r="K28" s="34">
        <f>K27/1000</f>
        <v>0.8721259916666667</v>
      </c>
      <c r="L28" s="26"/>
      <c r="M28" s="55"/>
    </row>
    <row r="29" spans="1:13" ht="12.75">
      <c r="A29" s="28"/>
      <c r="B29" s="52"/>
      <c r="C29" s="24"/>
      <c r="D29" s="29"/>
      <c r="E29" s="23"/>
      <c r="F29" s="32"/>
      <c r="G29" s="23"/>
      <c r="H29" s="22"/>
      <c r="I29" s="22"/>
      <c r="J29" s="32"/>
      <c r="K29" s="23"/>
      <c r="L29" s="26"/>
      <c r="M29" s="50"/>
    </row>
    <row r="30" spans="1:13" ht="12.75">
      <c r="A30" s="28"/>
      <c r="B30" s="30" t="s">
        <v>30</v>
      </c>
      <c r="C30" s="24"/>
      <c r="D30" s="29"/>
      <c r="E30" s="23">
        <f>E24+E25</f>
        <v>507.83333333333337</v>
      </c>
      <c r="F30" s="32"/>
      <c r="G30" s="23">
        <f>G24+G25</f>
        <v>580.5</v>
      </c>
      <c r="H30" s="22"/>
      <c r="I30" s="22">
        <f>I24+I25</f>
        <v>846.5</v>
      </c>
      <c r="J30" s="32"/>
      <c r="K30" s="23">
        <f>K24+K25</f>
        <v>981.1666666666667</v>
      </c>
      <c r="L30" s="26"/>
      <c r="M30" s="53"/>
    </row>
    <row r="31" spans="1:13" ht="12.75">
      <c r="A31" s="28"/>
      <c r="B31" s="30" t="s">
        <v>31</v>
      </c>
      <c r="C31" s="24"/>
      <c r="D31" s="29"/>
      <c r="E31" s="34">
        <f>E30/1000</f>
        <v>0.5078333333333334</v>
      </c>
      <c r="F31" s="35"/>
      <c r="G31" s="34">
        <f>G30/1000</f>
        <v>0.5805</v>
      </c>
      <c r="H31" s="54"/>
      <c r="I31" s="54">
        <f>I30/1000</f>
        <v>0.8465</v>
      </c>
      <c r="J31" s="35"/>
      <c r="K31" s="34">
        <f>K30/1000</f>
        <v>0.9811666666666667</v>
      </c>
      <c r="L31" s="26"/>
      <c r="M31" s="55"/>
    </row>
    <row r="32" spans="1:13" ht="12.75">
      <c r="A32" s="28"/>
      <c r="B32" s="52"/>
      <c r="C32" s="24"/>
      <c r="D32" s="29"/>
      <c r="E32" s="23"/>
      <c r="F32" s="32"/>
      <c r="G32" s="23"/>
      <c r="H32" s="22"/>
      <c r="I32" s="22"/>
      <c r="J32" s="32"/>
      <c r="K32" s="23"/>
      <c r="L32" s="26"/>
      <c r="M32" s="50"/>
    </row>
    <row r="33" spans="1:13" ht="12.75">
      <c r="A33" s="28"/>
      <c r="B33" s="30" t="s">
        <v>32</v>
      </c>
      <c r="C33" s="24"/>
      <c r="D33" s="29"/>
      <c r="E33" s="23">
        <f>SUM(E5:E26)</f>
        <v>1037.5327966666666</v>
      </c>
      <c r="F33" s="32"/>
      <c r="G33" s="23">
        <f>SUM(G5:G26)</f>
        <v>1181.0352683333335</v>
      </c>
      <c r="H33" s="22"/>
      <c r="I33" s="22">
        <f>SUM(I5:I26)</f>
        <v>1629.4814716666667</v>
      </c>
      <c r="J33" s="32"/>
      <c r="K33" s="23">
        <f>SUM(K5:K26)</f>
        <v>1853.2926583333335</v>
      </c>
      <c r="L33" s="26"/>
      <c r="M33" s="53"/>
    </row>
    <row r="34" spans="1:13" ht="13.5" thickBot="1">
      <c r="A34" s="37"/>
      <c r="B34" s="38" t="s">
        <v>33</v>
      </c>
      <c r="C34" s="39"/>
      <c r="D34" s="39"/>
      <c r="E34" s="86">
        <f>E33/1000</f>
        <v>1.0375327966666665</v>
      </c>
      <c r="F34" s="40"/>
      <c r="G34" s="41">
        <f>G33/1000</f>
        <v>1.1810352683333336</v>
      </c>
      <c r="H34" s="57"/>
      <c r="I34" s="57">
        <f>I33/1000</f>
        <v>1.6294814716666668</v>
      </c>
      <c r="J34" s="40"/>
      <c r="K34" s="41">
        <f>K33/1000</f>
        <v>1.8532926583333336</v>
      </c>
      <c r="L34" s="58"/>
      <c r="M34" s="59"/>
    </row>
    <row r="36" spans="1:12" ht="15">
      <c r="A36" s="81" t="s">
        <v>61</v>
      </c>
      <c r="B36" s="76"/>
      <c r="C36" s="26"/>
      <c r="D36" s="80" t="s">
        <v>70</v>
      </c>
      <c r="E36" s="77"/>
      <c r="F36" s="26"/>
      <c r="G36" s="26"/>
      <c r="H36" s="26"/>
      <c r="I36" s="52" t="s">
        <v>76</v>
      </c>
      <c r="J36" s="26"/>
      <c r="K36" s="26"/>
      <c r="L36" s="26"/>
    </row>
    <row r="37" spans="1:12" ht="12.75">
      <c r="A37" s="26" t="s">
        <v>62</v>
      </c>
      <c r="B37" s="26"/>
      <c r="C37" s="78"/>
      <c r="D37" s="26" t="s">
        <v>75</v>
      </c>
      <c r="E37" s="77"/>
      <c r="F37" s="26"/>
      <c r="G37" s="79"/>
      <c r="H37" s="26"/>
      <c r="I37" s="26" t="s">
        <v>95</v>
      </c>
      <c r="J37" s="26"/>
      <c r="K37" s="26"/>
      <c r="L37" s="26"/>
    </row>
    <row r="38" spans="1:12" ht="12.75">
      <c r="A38" s="26" t="s">
        <v>115</v>
      </c>
      <c r="B38" s="26"/>
      <c r="C38" s="78"/>
      <c r="D38" s="26" t="s">
        <v>71</v>
      </c>
      <c r="E38" s="26"/>
      <c r="F38" s="26"/>
      <c r="G38" s="26"/>
      <c r="H38" s="26"/>
      <c r="I38" s="26" t="s">
        <v>96</v>
      </c>
      <c r="J38" s="26"/>
      <c r="K38" s="26"/>
      <c r="L38" s="26"/>
    </row>
    <row r="39" spans="1:9" s="26" customFormat="1" ht="12" customHeight="1">
      <c r="A39" s="26" t="s">
        <v>116</v>
      </c>
      <c r="D39" s="26" t="s">
        <v>72</v>
      </c>
      <c r="I39" s="26" t="s">
        <v>97</v>
      </c>
    </row>
    <row r="40" spans="1:12" ht="12.75">
      <c r="A40" s="26" t="s">
        <v>111</v>
      </c>
      <c r="B40" s="26"/>
      <c r="C40" s="26"/>
      <c r="D40" s="26" t="s">
        <v>161</v>
      </c>
      <c r="E40" s="26"/>
      <c r="F40" s="30"/>
      <c r="G40" s="26"/>
      <c r="H40" s="26"/>
      <c r="I40" s="26" t="s">
        <v>98</v>
      </c>
      <c r="J40" s="26"/>
      <c r="K40" s="26"/>
      <c r="L40" s="26"/>
    </row>
    <row r="41" spans="1:12" ht="12.75">
      <c r="A41" s="26" t="s">
        <v>65</v>
      </c>
      <c r="B41" s="26"/>
      <c r="C41" s="26"/>
      <c r="E41" s="26"/>
      <c r="F41" s="19"/>
      <c r="G41" s="26"/>
      <c r="H41" s="26"/>
      <c r="I41" s="26"/>
      <c r="J41" s="26"/>
      <c r="K41" s="26"/>
      <c r="L41" s="26"/>
    </row>
    <row r="42" spans="1:12" ht="12.75">
      <c r="A42" s="26" t="s">
        <v>114</v>
      </c>
      <c r="B42" s="26"/>
      <c r="C42" s="26"/>
      <c r="D42" s="2" t="s">
        <v>93</v>
      </c>
      <c r="E42" s="26"/>
      <c r="F42" s="19"/>
      <c r="G42" s="26"/>
      <c r="H42" s="26"/>
      <c r="I42" s="26"/>
      <c r="J42" s="26"/>
      <c r="K42" s="26"/>
      <c r="L42" s="26"/>
    </row>
    <row r="43" spans="1:12" ht="12.75">
      <c r="A43" s="26" t="s">
        <v>85</v>
      </c>
      <c r="B43" s="26"/>
      <c r="C43" s="26"/>
      <c r="D43" s="83" t="s">
        <v>105</v>
      </c>
      <c r="E43" s="26"/>
      <c r="F43" s="84">
        <v>200</v>
      </c>
      <c r="G43" s="26"/>
      <c r="H43" s="26"/>
      <c r="I43" s="26"/>
      <c r="J43" s="26"/>
      <c r="K43" s="26"/>
      <c r="L43" s="26"/>
    </row>
    <row r="44" spans="1:12" ht="12.75">
      <c r="A44" s="19" t="s">
        <v>68</v>
      </c>
      <c r="B44" s="26"/>
      <c r="C44" s="26"/>
      <c r="D44" s="83" t="s">
        <v>94</v>
      </c>
      <c r="E44" s="26"/>
      <c r="F44" s="84">
        <v>125</v>
      </c>
      <c r="G44" s="26"/>
      <c r="H44" s="26"/>
      <c r="I44" s="26"/>
      <c r="J44" s="26"/>
      <c r="K44" s="26"/>
      <c r="L44" s="26"/>
    </row>
    <row r="45" spans="3:12" ht="12.75">
      <c r="C45" s="147"/>
      <c r="D45" s="147"/>
      <c r="E45" s="147"/>
      <c r="F45" s="147"/>
      <c r="G45" s="62"/>
      <c r="H45" s="62"/>
      <c r="I45" s="62"/>
      <c r="J45" s="62"/>
      <c r="K45" s="62"/>
      <c r="L45" s="26"/>
    </row>
    <row r="46" spans="1:11" ht="12.75">
      <c r="A46" s="133" t="s">
        <v>220</v>
      </c>
      <c r="F46" s="62"/>
      <c r="G46" s="62"/>
      <c r="H46" s="62"/>
      <c r="I46" s="62"/>
      <c r="J46" s="62"/>
      <c r="K46" s="62"/>
    </row>
    <row r="47" spans="1:6" ht="12.75">
      <c r="A47" s="133" t="s">
        <v>219</v>
      </c>
      <c r="F47" s="3"/>
    </row>
    <row r="48" spans="1:6" ht="12.75">
      <c r="A48" s="44"/>
      <c r="F48" s="44"/>
    </row>
    <row r="49" spans="1:6" ht="12.75">
      <c r="A49" s="44"/>
      <c r="F49" s="44"/>
    </row>
    <row r="50" spans="1:6" ht="12.75">
      <c r="A50" s="44"/>
      <c r="F50" s="44"/>
    </row>
    <row r="51" ht="12.75">
      <c r="F51" s="44"/>
    </row>
    <row r="52" ht="12.75">
      <c r="A52" s="44"/>
    </row>
    <row r="53" ht="12.75">
      <c r="A53" s="44"/>
    </row>
  </sheetData>
  <sheetProtection/>
  <mergeCells count="9">
    <mergeCell ref="J2:K2"/>
    <mergeCell ref="D3:E3"/>
    <mergeCell ref="F3:G3"/>
    <mergeCell ref="H3:I3"/>
    <mergeCell ref="J3:K3"/>
    <mergeCell ref="C45:F45"/>
    <mergeCell ref="D2:E2"/>
    <mergeCell ref="F2:G2"/>
    <mergeCell ref="H2:I2"/>
  </mergeCells>
  <printOptions/>
  <pageMargins left="0.75" right="0.75" top="1" bottom="1" header="0.5" footer="0.5"/>
  <pageSetup fitToHeight="1" fitToWidth="1" horizontalDpi="600" verticalDpi="600" orientation="landscape" scale="84"/>
  <ignoredErrors>
    <ignoredError sqref="E12 I12 I2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VA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Cooperative Extension</dc:creator>
  <cp:keywords/>
  <dc:description/>
  <cp:lastModifiedBy>Stanley, Tom</cp:lastModifiedBy>
  <cp:lastPrinted>2017-03-02T19:54:55Z</cp:lastPrinted>
  <dcterms:created xsi:type="dcterms:W3CDTF">1997-08-11T15:00:43Z</dcterms:created>
  <dcterms:modified xsi:type="dcterms:W3CDTF">2017-03-06T14:15:47Z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